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105117\Desktop\"/>
    </mc:Choice>
  </mc:AlternateContent>
  <bookViews>
    <workbookView xWindow="-105" yWindow="-105" windowWidth="19425" windowHeight="1042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7" l="1"/>
  <c r="D8" i="15"/>
  <c r="E6" i="17"/>
  <c r="D7" i="15"/>
  <c r="E4" i="17"/>
  <c r="D5" i="15"/>
  <c r="F52" i="17" l="1"/>
  <c r="P16" i="7" l="1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F60" i="17" l="1"/>
  <c r="G60" i="17"/>
  <c r="H60" i="17"/>
  <c r="I60" i="17"/>
  <c r="J60" i="17"/>
  <c r="K60" i="17"/>
  <c r="L60" i="17"/>
  <c r="M60" i="17"/>
  <c r="N60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69" i="17"/>
  <c r="G69" i="17"/>
  <c r="H69" i="17"/>
  <c r="I69" i="17"/>
  <c r="J69" i="17"/>
  <c r="K69" i="17"/>
  <c r="L69" i="17"/>
  <c r="M69" i="17"/>
  <c r="N69" i="17"/>
  <c r="E69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6" i="17"/>
  <c r="H56" i="1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S12" i="7"/>
  <c r="T12" i="7"/>
  <c r="U12" i="7"/>
  <c r="V12" i="7"/>
  <c r="W12" i="7"/>
  <c r="R12" i="7"/>
  <c r="X12" i="7" l="1"/>
  <c r="X13" i="7"/>
  <c r="X16" i="7"/>
  <c r="X15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E5" i="17" l="1"/>
  <c r="E5" i="18"/>
  <c r="C4" i="1"/>
  <c r="C6" i="1"/>
  <c r="D5" i="7"/>
  <c r="D7" i="7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Q13" i="7" l="1"/>
  <c r="Q15" i="7"/>
  <c r="Q12" i="7"/>
  <c r="Q16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<sst xmlns="http://schemas.openxmlformats.org/spreadsheetml/2006/main" count="1370" uniqueCount="664">
  <si>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</si>
  <si>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</si>
  <si>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</si>
  <si>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</si>
  <si>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</si>
  <si>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</si>
  <si>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</si>
  <si>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</si>
  <si>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</si>
  <si>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</si>
  <si>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</si>
  <si>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</si>
  <si>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</si>
  <si>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</si>
  <si>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</si>
  <si>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</si>
  <si>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</si>
  <si>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</si>
  <si>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</si>
  <si>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</si>
  <si>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</si>
  <si>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</si>
  <si>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</si>
  <si>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</si>
  <si>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</si>
  <si>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</si>
  <si>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</si>
  <si>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</si>
  <si>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</si>
  <si>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</si>
  <si>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</si>
  <si>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</si>
  <si>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</si>
  <si>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</si>
  <si>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</si>
  <si>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</si>
  <si>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</si>
  <si>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</si>
  <si>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</si>
  <si>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</si>
  <si>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</si>
  <si>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</si>
  <si>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</si>
  <si>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</si>
  <si>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</si>
  <si>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</si>
  <si>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</si>
  <si>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</si>
  <si>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</si>
  <si>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</si>
  <si>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</si>
  <si>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</si>
  <si>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</si>
  <si>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</si>
  <si>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</si>
  <si>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</si>
  <si>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</si>
  <si>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</si>
  <si>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</si>
  <si>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</si>
  <si>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</si>
  <si>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</si>
  <si>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</si>
  <si>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</si>
  <si>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</si>
  <si>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</si>
  <si>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</si>
  <si>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</si>
  <si>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</si>
  <si>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</si>
  <si>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</si>
  <si>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</si>
  <si>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</si>
  <si>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</si>
  <si>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</si>
  <si>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</si>
  <si>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</si>
  <si>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</si>
  <si>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</si>
  <si>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</si>
  <si>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</si>
  <si>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</si>
  <si>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</si>
  <si>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</si>
  <si>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</si>
  <si>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</si>
  <si>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</si>
  <si>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</si>
  <si>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</si>
  <si>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</si>
  <si>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</si>
  <si>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</si>
  <si>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</si>
  <si>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</si>
  <si>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</si>
  <si>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</si>
  <si>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</si>
  <si>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</si>
  <si>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</si>
  <si>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</si>
  <si>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</si>
  <si>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</si>
  <si>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</si>
  <si>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</si>
  <si>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</si>
  <si>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</si>
  <si>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</si>
  <si>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</si>
  <si>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</si>
  <si>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</si>
  <si>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</si>
  <si>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</si>
  <si>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</si>
  <si>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</si>
  <si>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</si>
  <si>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</si>
  <si>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</si>
  <si>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</si>
  <si>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</si>
  <si>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</si>
  <si>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</si>
  <si>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</si>
  <si>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</si>
  <si>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</si>
  <si>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</si>
  <si>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</si>
  <si>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</si>
  <si>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</si>
  <si>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</si>
  <si>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</si>
  <si>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</si>
  <si>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</si>
  <si>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</si>
  <si>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</si>
  <si>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</si>
  <si>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</si>
  <si>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</si>
  <si>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</si>
  <si>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</si>
  <si>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</si>
  <si>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</si>
  <si>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</si>
  <si>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</si>
  <si>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</si>
  <si>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</si>
  <si>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</si>
  <si>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</si>
  <si>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</si>
  <si>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</si>
  <si>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</si>
  <si>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</si>
  <si>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</si>
  <si>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</si>
  <si>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</si>
  <si>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</si>
  <si>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</si>
  <si>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</si>
  <si>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</si>
  <si>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</si>
  <si>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</si>
  <si>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</si>
  <si>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</si>
  <si>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</si>
  <si>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</si>
  <si>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</si>
  <si>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</si>
  <si>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</si>
  <si>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</si>
  <si>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</si>
  <si>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</si>
  <si>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</si>
  <si>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</si>
  <si>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</si>
  <si>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</si>
  <si>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</si>
  <si>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</si>
  <si>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</si>
  <si>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</si>
  <si>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</si>
  <si>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</si>
  <si>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</si>
  <si>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</si>
  <si>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</si>
  <si>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</si>
  <si>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</si>
  <si>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</si>
  <si>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</si>
  <si>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</si>
  <si>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</si>
  <si>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</si>
  <si>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</si>
  <si>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</si>
  <si>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</si>
  <si>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</si>
  <si>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</si>
  <si>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</si>
  <si>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</si>
  <si>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</si>
  <si>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</si>
  <si>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</si>
  <si>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</si>
  <si>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</si>
  <si>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</si>
  <si>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</si>
  <si>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</si>
  <si>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</si>
  <si>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</si>
  <si>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</si>
  <si>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</si>
  <si>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</si>
  <si>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</si>
  <si>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</si>
  <si>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</si>
  <si>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</si>
  <si>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</si>
  <si>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</si>
  <si>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</si>
  <si>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</si>
  <si>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</si>
  <si>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</si>
  <si>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</si>
  <si>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</si>
  <si>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</si>
  <si>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</si>
  <si>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</si>
  <si>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</si>
  <si>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</si>
  <si>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</si>
  <si>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</si>
  <si>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</si>
  <si>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</si>
  <si>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</si>
  <si>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</si>
  <si>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</si>
  <si>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</si>
  <si>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</si>
  <si>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</si>
  <si>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</si>
  <si>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</si>
  <si>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</si>
  <si>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</si>
  <si>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</si>
  <si>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</si>
  <si>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</si>
  <si>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</si>
  <si>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</si>
  <si>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</si>
  <si>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</si>
  <si>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</si>
  <si>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</si>
  <si>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</si>
  <si>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</si>
  <si>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</si>
  <si>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</si>
  <si>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</si>
  <si>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</si>
  <si>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</si>
  <si>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</si>
  <si>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</si>
  <si>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</si>
  <si>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</si>
  <si>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</si>
  <si>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</si>
  <si>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</si>
  <si>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</si>
  <si>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</si>
  <si>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</si>
  <si>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</si>
  <si>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</si>
  <si>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</si>
  <si>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</si>
  <si>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</si>
  <si>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</si>
  <si>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</si>
  <si>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</si>
  <si>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</si>
  <si>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</si>
  <si>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</si>
  <si>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</si>
  <si>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</si>
  <si>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</si>
  <si>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</si>
  <si>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</si>
  <si>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</si>
  <si>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</si>
  <si>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</si>
  <si>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</si>
  <si>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</si>
  <si>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</si>
  <si>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</si>
  <si>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</si>
  <si>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</si>
  <si>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</si>
  <si>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</si>
  <si>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</si>
  <si>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</si>
  <si>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</si>
  <si>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</si>
  <si>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</si>
  <si>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</si>
  <si>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</si>
  <si>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</si>
  <si>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</si>
  <si>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</si>
  <si>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</si>
  <si>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</si>
  <si>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</si>
  <si>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</si>
  <si>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</si>
  <si>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</si>
  <si>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</si>
  <si>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</si>
  <si>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</si>
  <si>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</si>
  <si>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</si>
  <si>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</si>
  <si>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</si>
  <si>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</si>
  <si>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</si>
  <si>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</si>
  <si>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</si>
  <si>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</si>
  <si>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</si>
  <si>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</si>
  <si>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</si>
  <si>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</si>
  <si>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</si>
  <si>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</si>
  <si>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</si>
  <si>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</si>
  <si>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</si>
  <si>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</si>
  <si>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</si>
  <si>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</si>
  <si>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</si>
  <si>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</si>
  <si>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</si>
  <si>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</si>
  <si>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</si>
  <si>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</si>
  <si>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</si>
  <si>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</si>
  <si>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</si>
  <si>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</si>
  <si>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</si>
  <si>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</si>
  <si>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</si>
  <si>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</si>
  <si>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</si>
  <si>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</si>
  <si>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</si>
  <si>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</si>
  <si>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</si>
  <si>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</si>
  <si>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</si>
  <si>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</si>
  <si>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</si>
  <si>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</si>
  <si>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</si>
  <si>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</si>
  <si>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</si>
  <si>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</si>
  <si>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</si>
  <si>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</si>
  <si>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</si>
  <si>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</si>
  <si>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</si>
  <si>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</si>
  <si>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</si>
  <si>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</si>
  <si>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</si>
  <si>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</si>
  <si>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</si>
  <si>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</si>
  <si>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</si>
  <si>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</si>
  <si>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</si>
  <si>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</si>
  <si>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</si>
  <si>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</si>
  <si>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</si>
  <si>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</si>
  <si>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</si>
  <si>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</si>
  <si>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</si>
  <si>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</si>
  <si>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</si>
  <si>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</si>
  <si>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</si>
  <si>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</si>
  <si>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</si>
  <si>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</si>
  <si>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</si>
  <si>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</si>
  <si>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</si>
  <si>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</si>
  <si>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</si>
  <si>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</si>
  <si>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</si>
  <si>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</si>
  <si>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</si>
  <si>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</si>
  <si>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</si>
  <si>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</si>
  <si>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</si>
  <si>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</si>
  <si>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</si>
  <si>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</si>
  <si>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</si>
  <si>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</si>
  <si>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</si>
  <si>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</si>
  <si>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</si>
  <si>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</si>
  <si>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</si>
  <si>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</si>
  <si>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</si>
  <si>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</si>
  <si>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</si>
  <si>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</si>
  <si>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</si>
  <si>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</si>
  <si>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</si>
  <si>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</si>
  <si>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</si>
  <si>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</si>
  <si>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</si>
  <si>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</si>
  <si>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</si>
  <si>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</si>
  <si>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</si>
  <si>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</si>
  <si>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</si>
  <si>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</si>
  <si>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</si>
  <si>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</si>
  <si>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</si>
  <si>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</si>
  <si>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</si>
  <si>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</si>
  <si>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</si>
  <si>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</si>
  <si>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</si>
  <si>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</si>
  <si>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</si>
  <si>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</si>
  <si>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</si>
  <si>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</si>
  <si>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</si>
  <si>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</si>
  <si>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</si>
  <si>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</si>
  <si>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</si>
  <si>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</si>
  <si>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</si>
  <si>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</si>
  <si>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</si>
  <si>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</si>
  <si>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</si>
  <si>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</si>
  <si>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</si>
  <si>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</si>
  <si>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</si>
  <si>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</si>
  <si>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</si>
  <si>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</si>
  <si>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</si>
  <si>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</si>
  <si>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</si>
  <si>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</si>
  <si>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</si>
  <si>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</si>
  <si>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</si>
  <si>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</si>
  <si>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</si>
  <si>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</si>
  <si>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</si>
  <si>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</si>
  <si>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</si>
  <si>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</si>
  <si>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</si>
  <si>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</si>
  <si>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</si>
  <si>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</si>
  <si>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</si>
  <si>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</si>
  <si>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</si>
  <si>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</si>
  <si>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</si>
  <si>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</si>
  <si>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</si>
  <si>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</si>
  <si>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</si>
  <si>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</si>
  <si>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</si>
  <si>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</si>
  <si>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</si>
  <si>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</si>
  <si>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</si>
  <si>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</si>
  <si>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</si>
  <si>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</si>
  <si>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</si>
  <si>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</si>
  <si>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</si>
  <si>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</si>
  <si>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</si>
  <si>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</si>
  <si>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</si>
  <si>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</si>
  <si>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</si>
  <si>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</si>
  <si>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</si>
  <si>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</si>
  <si>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</si>
  <si>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</si>
  <si>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</si>
  <si>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</si>
  <si>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</si>
  <si>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</si>
  <si>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</si>
  <si>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</si>
  <si>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</si>
  <si>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</si>
  <si>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</si>
  <si>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</si>
  <si>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</si>
  <si>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</si>
  <si>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</si>
  <si>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</si>
  <si>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</si>
  <si>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</si>
  <si>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</si>
  <si>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</si>
  <si>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</si>
  <si>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</si>
  <si>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</si>
  <si>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</si>
  <si>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</si>
  <si>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</si>
  <si>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</si>
  <si>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</si>
  <si>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</si>
  <si>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</si>
  <si>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</si>
  <si>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</si>
  <si>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</si>
  <si>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</si>
  <si>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</si>
  <si>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</si>
  <si>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</si>
  <si>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</si>
  <si>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</si>
  <si>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</si>
  <si>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</si>
  <si>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</si>
  <si>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</si>
  <si>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</si>
  <si>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</si>
  <si>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</si>
  <si>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</si>
  <si>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</si>
  <si>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</si>
  <si>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</si>
  <si>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</si>
  <si>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</si>
  <si>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</si>
  <si>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</si>
  <si>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</si>
  <si>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</si>
  <si>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</si>
  <si>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</si>
  <si>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</si>
  <si>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</si>
  <si>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</si>
  <si>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</si>
  <si>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</si>
  <si>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</si>
  <si>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</si>
  <si>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</si>
  <si>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</si>
  <si>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</si>
  <si>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</si>
  <si>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</si>
  <si>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</si>
  <si>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</si>
  <si>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</si>
  <si>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</si>
  <si>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</si>
  <si>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</si>
  <si>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</si>
  <si>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</si>
  <si>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</si>
  <si>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</si>
  <si>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</si>
  <si>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</si>
  <si>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</si>
  <si>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</si>
  <si>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</si>
  <si>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</si>
  <si>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</si>
  <si>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</si>
  <si>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</si>
  <si>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</si>
  <si>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</si>
  <si>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</si>
  <si>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</si>
  <si>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</si>
  <si>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</si>
  <si>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</si>
  <si>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</si>
  <si>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</si>
  <si>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</si>
  <si>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</si>
  <si>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</si>
  <si>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</si>
  <si>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</si>
  <si>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</si>
  <si>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</si>
  <si>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</si>
  <si>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</si>
  <si>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</si>
  <si>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</si>
  <si>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</si>
  <si>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</si>
  <si>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</si>
  <si>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</si>
  <si>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</si>
  <si>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</si>
  <si>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</si>
  <si>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</si>
  <si>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</si>
  <si>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</si>
  <si>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</si>
  <si>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</si>
  <si>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</si>
  <si>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</si>
  <si>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</si>
  <si>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</si>
  <si>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</si>
  <si>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</si>
  <si>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</si>
  <si>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</si>
  <si>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</si>
  <si>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</si>
  <si>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</si>
  <si>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</si>
  <si>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</si>
  <si>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</si>
  <si>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</si>
  <si>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Individuelle GPT</t>
  </si>
  <si>
    <t>Allgemeine GPT</t>
  </si>
  <si>
    <t>EVIP GmbH</t>
  </si>
  <si>
    <t>Niels-Bohr-Straße 2</t>
  </si>
  <si>
    <t>Bitterfeld-Wolfen</t>
  </si>
  <si>
    <t>Björn Friede</t>
  </si>
  <si>
    <t>edm@evip.de</t>
  </si>
  <si>
    <t>0345/216-2869</t>
  </si>
  <si>
    <t>THE0NKH701053000</t>
  </si>
  <si>
    <t>Wetterstation Leipzig/Halle</t>
  </si>
  <si>
    <t>Leipzig/Halle</t>
  </si>
  <si>
    <t>DE_GBH04</t>
  </si>
  <si>
    <t>DE_GKO04</t>
  </si>
  <si>
    <t>DE_GBD04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</si>
</sst>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375285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47466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vip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12" sqref="G1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494</v>
      </c>
    </row>
    <row r="12" spans="2:7" s="8" customFormat="1">
      <c r="B12" s="8" t="s">
        <v>495</v>
      </c>
    </row>
    <row r="13" spans="2:7" s="8" customFormat="1">
      <c r="B13" s="8" t="s">
        <v>503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38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498</v>
      </c>
      <c r="D4" s="27">
        <v>44525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499</v>
      </c>
      <c r="D6" s="27">
        <v>44593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258</v>
      </c>
      <c r="D9" s="41" t="s">
        <v>652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347">
        <v>9870105300006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259</v>
      </c>
      <c r="D13" s="41" t="s">
        <v>653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260</v>
      </c>
      <c r="D15" s="43">
        <v>6749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261</v>
      </c>
      <c r="D17" s="41" t="s">
        <v>654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262</v>
      </c>
      <c r="D19" s="41" t="s">
        <v>655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263</v>
      </c>
      <c r="D21" s="44" t="s">
        <v>656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264</v>
      </c>
      <c r="D23" s="41" t="s">
        <v>657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EVIP GmbH</v>
      </c>
      <c r="E28" s="38"/>
      <c r="F28" s="11"/>
      <c r="G28" s="2"/>
    </row>
    <row r="29" spans="1:15">
      <c r="B29" s="15"/>
      <c r="C29" s="22" t="s">
        <v>392</v>
      </c>
      <c r="D29" s="45" t="s">
        <v>652</v>
      </c>
      <c r="E29" s="40"/>
      <c r="F29" s="11"/>
      <c r="G29" s="2"/>
    </row>
    <row r="30" spans="1:15">
      <c r="B30" s="15"/>
      <c r="C30" s="22" t="s">
        <v>393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9" sqref="D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441</v>
      </c>
      <c r="D5" s="57" t="str">
        <f>Netzbetreiber!$D$9</f>
        <v>EVIP GmbH</v>
      </c>
      <c r="H5" s="67"/>
      <c r="I5" s="67"/>
      <c r="J5" s="67"/>
      <c r="K5" s="67"/>
    </row>
    <row r="6" spans="2:15" ht="15" customHeight="1">
      <c r="B6" s="22"/>
      <c r="C6" s="61" t="s">
        <v>440</v>
      </c>
      <c r="D6" s="57" t="str">
        <f>Netzbetreiber!D28</f>
        <v>EVIP GmbH</v>
      </c>
      <c r="E6" s="15"/>
      <c r="H6" s="67"/>
      <c r="I6" s="67"/>
      <c r="J6" s="67"/>
      <c r="K6" s="67"/>
    </row>
    <row r="7" spans="2:15" ht="15" customHeight="1">
      <c r="B7" s="22"/>
      <c r="C7" s="59" t="s">
        <v>484</v>
      </c>
      <c r="D7" s="348">
        <f>Netzbetreiber!$D$11</f>
        <v>9870105300006</v>
      </c>
      <c r="E7" s="15"/>
      <c r="H7" s="67"/>
      <c r="I7" s="67"/>
      <c r="J7" s="67"/>
      <c r="K7" s="67"/>
    </row>
    <row r="8" spans="2:15" ht="15" customHeight="1">
      <c r="B8" s="22"/>
      <c r="C8" s="55" t="s">
        <v>132</v>
      </c>
      <c r="D8" s="50">
        <f>Netzbetreiber!$D$6</f>
        <v>44593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611</v>
      </c>
      <c r="D11" s="33" t="s">
        <v>612</v>
      </c>
      <c r="E11" s="15"/>
      <c r="H11" s="276" t="s">
        <v>612</v>
      </c>
      <c r="I11" s="276" t="s">
        <v>613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649</v>
      </c>
      <c r="D13" s="42" t="s">
        <v>658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82</v>
      </c>
      <c r="C15" s="31" t="s">
        <v>365</v>
      </c>
      <c r="D15" s="49" t="s">
        <v>256</v>
      </c>
      <c r="E15" s="15"/>
      <c r="H15" s="274" t="s">
        <v>256</v>
      </c>
      <c r="I15" s="274" t="s">
        <v>134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571</v>
      </c>
      <c r="I16" s="275" t="s">
        <v>485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486</v>
      </c>
      <c r="I17" s="275" t="s">
        <v>487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83</v>
      </c>
      <c r="C19" s="8" t="s">
        <v>609</v>
      </c>
      <c r="D19" s="49" t="s">
        <v>605</v>
      </c>
      <c r="E19" s="15"/>
      <c r="H19" s="272" t="s">
        <v>605</v>
      </c>
      <c r="I19" s="272" t="s">
        <v>606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9" t="s">
        <v>607</v>
      </c>
      <c r="E20" s="15"/>
      <c r="H20" s="272" t="s">
        <v>608</v>
      </c>
      <c r="I20" s="8" t="s">
        <v>604</v>
      </c>
      <c r="J20" s="8"/>
      <c r="K20" s="8"/>
      <c r="L20" s="273"/>
    </row>
    <row r="21" spans="2:16" ht="15" customHeight="1">
      <c r="B21" s="22"/>
      <c r="C21" s="24" t="s">
        <v>610</v>
      </c>
      <c r="D21" s="24" t="str">
        <f>IF(D19=$H$19,L21,IF(D20=$H$21,M21,N21))</f>
        <v>=&gt;  Q(D) = KW  x  h(T, SLP-Typ)  x  F(WT)</v>
      </c>
      <c r="E21" s="15"/>
      <c r="H21" s="272" t="s">
        <v>607</v>
      </c>
      <c r="I21" s="272" t="s">
        <v>614</v>
      </c>
      <c r="J21" s="8"/>
      <c r="K21" s="8"/>
      <c r="L21" s="275" t="s">
        <v>615</v>
      </c>
      <c r="M21" s="275" t="s">
        <v>617</v>
      </c>
      <c r="N21" s="275" t="s">
        <v>616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84</v>
      </c>
      <c r="C23" s="6" t="s">
        <v>574</v>
      </c>
      <c r="D23" s="42" t="s">
        <v>135</v>
      </c>
      <c r="E23" s="15"/>
      <c r="H23" s="274" t="s">
        <v>133</v>
      </c>
      <c r="I23" s="274" t="s">
        <v>135</v>
      </c>
      <c r="J23" s="272"/>
      <c r="K23" s="272"/>
      <c r="L23" s="273"/>
    </row>
    <row r="24" spans="2:16" ht="15" customHeight="1">
      <c r="B24" s="7"/>
      <c r="C24" s="6" t="s">
        <v>618</v>
      </c>
      <c r="D24" s="42" t="s">
        <v>619</v>
      </c>
      <c r="E24" s="15"/>
      <c r="H24" s="308" t="s">
        <v>619</v>
      </c>
      <c r="I24" s="274" t="s">
        <v>620</v>
      </c>
      <c r="J24" s="274" t="s">
        <v>621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622</v>
      </c>
      <c r="I25" s="275" t="s">
        <v>623</v>
      </c>
      <c r="J25" s="275" t="s">
        <v>624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625</v>
      </c>
      <c r="I26" s="275" t="s">
        <v>626</v>
      </c>
      <c r="J26" s="275" t="s">
        <v>627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367</v>
      </c>
      <c r="C28" s="6" t="s">
        <v>573</v>
      </c>
      <c r="D28" s="42" t="s">
        <v>135</v>
      </c>
      <c r="E28" s="15"/>
      <c r="H28" s="274" t="s">
        <v>133</v>
      </c>
      <c r="I28" s="274" t="s">
        <v>135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628</v>
      </c>
      <c r="I29" s="275" t="s">
        <v>629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630</v>
      </c>
      <c r="I30" s="272" t="s">
        <v>625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490</v>
      </c>
      <c r="C32" s="24" t="s">
        <v>492</v>
      </c>
      <c r="D32" s="268">
        <v>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545</v>
      </c>
      <c r="C34" s="5" t="s">
        <v>362</v>
      </c>
      <c r="D34" s="34">
        <v>1500000</v>
      </c>
      <c r="E34" s="15" t="s">
        <v>504</v>
      </c>
      <c r="I34" s="272"/>
      <c r="J34" s="272"/>
      <c r="K34" s="272"/>
      <c r="L34" s="272"/>
      <c r="M34" s="273"/>
    </row>
    <row r="35" spans="2:39" customFormat="1" ht="15" customHeight="1">
      <c r="C35" s="8" t="s">
        <v>488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546</v>
      </c>
      <c r="C37" s="5" t="s">
        <v>363</v>
      </c>
      <c r="D37" s="36">
        <v>500</v>
      </c>
      <c r="E37" s="15" t="s">
        <v>537</v>
      </c>
      <c r="H37" s="67"/>
      <c r="I37" s="67"/>
      <c r="J37" s="67"/>
      <c r="K37" s="67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536</v>
      </c>
    </row>
    <row r="41" spans="2:39" ht="18" customHeight="1">
      <c r="C41" s="3" t="s">
        <v>538</v>
      </c>
    </row>
    <row r="42" spans="2:39" ht="18" customHeight="1">
      <c r="C42" s="3"/>
    </row>
    <row r="43" spans="2:39" ht="15" customHeight="1">
      <c r="B43" s="22" t="s">
        <v>547</v>
      </c>
      <c r="C43" s="59" t="s">
        <v>572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582</v>
      </c>
      <c r="D45" s="45" t="s">
        <v>659</v>
      </c>
    </row>
    <row r="46" spans="2:39" ht="18" customHeight="1">
      <c r="C46" s="22" t="s">
        <v>583</v>
      </c>
      <c r="D46" s="45"/>
    </row>
    <row r="47" spans="2:39" ht="18" customHeight="1">
      <c r="C47" s="22" t="s">
        <v>584</v>
      </c>
      <c r="D47" s="45"/>
    </row>
    <row r="48" spans="2:39" ht="18" customHeight="1">
      <c r="C48" s="22" t="s">
        <v>585</v>
      </c>
      <c r="D48" s="45"/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C11" sqref="C11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2:56" ht="75" customHeight="1"/>
    <row r="2" spans="2:56" ht="23.25">
      <c r="B2" s="171" t="s">
        <v>540</v>
      </c>
    </row>
    <row r="3" spans="2:56" ht="15" customHeight="1">
      <c r="B3" s="171"/>
    </row>
    <row r="4" spans="2:56">
      <c r="B4" s="130"/>
      <c r="C4" s="55" t="s">
        <v>441</v>
      </c>
      <c r="D4" s="56"/>
      <c r="E4" s="57" t="str">
        <f>Netzbetreiber!$D$9</f>
        <v>EVIP GmbH</v>
      </c>
      <c r="F4" s="130"/>
      <c r="M4" s="130"/>
      <c r="N4" s="130"/>
      <c r="O4" s="130"/>
    </row>
    <row r="5" spans="2:56">
      <c r="B5" s="130"/>
      <c r="C5" s="55" t="s">
        <v>440</v>
      </c>
      <c r="D5" s="56"/>
      <c r="E5" s="57" t="str">
        <f>Netzbetreiber!D28</f>
        <v>EVIP GmbH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484</v>
      </c>
      <c r="D6" s="56"/>
      <c r="E6" s="348">
        <f>Netzbetreiber!$D$11</f>
        <v>9870105300006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132</v>
      </c>
      <c r="D7" s="56"/>
      <c r="E7" s="50">
        <f>Netzbetreiber!$D$6</f>
        <v>44593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493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518</v>
      </c>
      <c r="D9" s="130"/>
      <c r="E9" s="130"/>
      <c r="F9" s="154">
        <f>'SLP-Verfahren'!D43</f>
        <v>1</v>
      </c>
      <c r="H9" s="172" t="s">
        <v>597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581</v>
      </c>
      <c r="D10" s="130"/>
      <c r="E10" s="130"/>
      <c r="F10" s="299">
        <v>1</v>
      </c>
      <c r="G10" s="56"/>
      <c r="H10" s="172" t="s">
        <v>598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599</v>
      </c>
      <c r="D11" s="130"/>
      <c r="E11" s="130"/>
      <c r="F11" s="296" t="str">
        <f>INDEX('SLP-Verfahren'!D45:D59,'SLP-Temp-Gebiet #01'!F10)</f>
        <v>Wetterstation Leipzig/Halle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50" t="s">
        <v>580</v>
      </c>
      <c r="D13" s="350"/>
      <c r="E13" s="350"/>
      <c r="F13" s="183" t="s">
        <v>544</v>
      </c>
      <c r="G13" s="130" t="s">
        <v>542</v>
      </c>
      <c r="H13" s="265" t="s">
        <v>559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51" t="s">
        <v>444</v>
      </c>
      <c r="D14" s="351"/>
      <c r="E14" s="89" t="s">
        <v>445</v>
      </c>
      <c r="F14" s="266"/>
      <c r="G14" s="267"/>
      <c r="H14" s="51"/>
      <c r="I14" s="56"/>
      <c r="J14" s="130"/>
      <c r="K14" s="130"/>
      <c r="L14" s="130"/>
      <c r="M14" s="130"/>
      <c r="N14" s="130"/>
      <c r="O14" s="173" t="s">
        <v>523</v>
      </c>
      <c r="R14" s="209" t="s">
        <v>560</v>
      </c>
      <c r="S14" s="209" t="s">
        <v>561</v>
      </c>
      <c r="T14" s="209" t="s">
        <v>562</v>
      </c>
      <c r="U14" s="209" t="s">
        <v>563</v>
      </c>
      <c r="V14" s="209" t="s">
        <v>543</v>
      </c>
      <c r="W14" s="209" t="s">
        <v>564</v>
      </c>
      <c r="X14" s="209" t="s">
        <v>565</v>
      </c>
      <c r="Y14" s="209" t="s">
        <v>566</v>
      </c>
      <c r="Z14" s="209" t="s">
        <v>567</v>
      </c>
      <c r="AA14" s="209" t="s">
        <v>568</v>
      </c>
      <c r="AB14" s="209" t="s">
        <v>569</v>
      </c>
      <c r="AC14" s="209" t="s">
        <v>570</v>
      </c>
    </row>
    <row r="15" spans="2:56" ht="19.5" customHeight="1">
      <c r="B15" s="130"/>
      <c r="C15" s="351" t="s">
        <v>384</v>
      </c>
      <c r="D15" s="351"/>
      <c r="E15" s="89" t="s">
        <v>445</v>
      </c>
      <c r="F15" s="266"/>
      <c r="G15" s="267"/>
      <c r="H15" s="51"/>
      <c r="I15" s="56"/>
      <c r="J15" s="130"/>
      <c r="K15" s="130"/>
      <c r="L15" s="130"/>
      <c r="M15" s="130"/>
      <c r="N15" s="130"/>
      <c r="O15" s="161" t="s">
        <v>524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367</v>
      </c>
      <c r="AH15" s="264" t="s">
        <v>490</v>
      </c>
      <c r="AI15" s="264" t="s">
        <v>545</v>
      </c>
      <c r="AJ15" s="264" t="s">
        <v>546</v>
      </c>
      <c r="AK15" s="264" t="s">
        <v>547</v>
      </c>
      <c r="AL15" s="264" t="s">
        <v>548</v>
      </c>
      <c r="AM15" s="264" t="s">
        <v>549</v>
      </c>
      <c r="AN15" s="264" t="s">
        <v>550</v>
      </c>
      <c r="AO15" s="264" t="s">
        <v>551</v>
      </c>
      <c r="AP15" s="264" t="s">
        <v>552</v>
      </c>
      <c r="AQ15" s="264" t="s">
        <v>553</v>
      </c>
      <c r="AR15" s="264" t="s">
        <v>554</v>
      </c>
      <c r="AS15" s="264" t="s">
        <v>555</v>
      </c>
      <c r="AT15" s="264" t="s">
        <v>556</v>
      </c>
      <c r="AU15" s="264" t="s">
        <v>557</v>
      </c>
      <c r="AV15" s="264" t="s">
        <v>558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513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519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514</v>
      </c>
      <c r="D20" s="180" t="s">
        <v>510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521</v>
      </c>
      <c r="D21" s="153" t="s">
        <v>512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533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500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516</v>
      </c>
      <c r="D24" s="188"/>
      <c r="E24" s="156" t="s">
        <v>660</v>
      </c>
      <c r="F24" s="156" t="s">
        <v>578</v>
      </c>
      <c r="G24" s="156"/>
      <c r="H24" s="156"/>
      <c r="I24" s="156"/>
      <c r="J24" s="156"/>
      <c r="K24" s="156"/>
      <c r="L24" s="156"/>
      <c r="M24" s="156"/>
      <c r="N24" s="156"/>
      <c r="O24" s="185" t="s">
        <v>517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511</v>
      </c>
      <c r="D25" s="188"/>
      <c r="E25" s="160">
        <v>10469</v>
      </c>
      <c r="F25" s="160" t="s">
        <v>360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651</v>
      </c>
      <c r="F26" s="156" t="s">
        <v>501</v>
      </c>
      <c r="G26" s="156" t="s">
        <v>501</v>
      </c>
      <c r="H26" s="156" t="s">
        <v>501</v>
      </c>
      <c r="I26" s="156" t="s">
        <v>501</v>
      </c>
      <c r="J26" s="156" t="s">
        <v>501</v>
      </c>
      <c r="K26" s="156" t="s">
        <v>501</v>
      </c>
      <c r="L26" s="156" t="s">
        <v>501</v>
      </c>
      <c r="M26" s="156" t="s">
        <v>501</v>
      </c>
      <c r="N26" s="156" t="s">
        <v>501</v>
      </c>
      <c r="O26" s="185" t="s">
        <v>141</v>
      </c>
      <c r="Q26" s="211"/>
      <c r="R26" s="209" t="s">
        <v>501</v>
      </c>
      <c r="S26" s="209" t="s">
        <v>650</v>
      </c>
      <c r="T26" s="209" t="s">
        <v>651</v>
      </c>
      <c r="U26" s="209" t="s">
        <v>502</v>
      </c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515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522</v>
      </c>
      <c r="D31" s="186" t="s">
        <v>254</v>
      </c>
      <c r="E31" s="287">
        <f>1-SUMPRODUCT(F29:N29,F31:N31)</f>
        <v>1</v>
      </c>
      <c r="F31" s="287">
        <f>ROUND(F32/$D$32,4)</f>
        <v>0.5</v>
      </c>
      <c r="G31" s="287">
        <f t="shared" ref="G31:N31" si="3">ROUND(G32/$D$32,4)</f>
        <v>0.25</v>
      </c>
      <c r="H31" s="287">
        <f t="shared" si="3"/>
        <v>0.125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529</v>
      </c>
      <c r="D32" s="293">
        <f>SUMPRODUCT(E32:N32,E29:N29)</f>
        <v>1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358</v>
      </c>
      <c r="D33" s="153" t="s">
        <v>357</v>
      </c>
      <c r="E33" s="156" t="s">
        <v>3</v>
      </c>
      <c r="F33" s="156" t="s">
        <v>356</v>
      </c>
      <c r="G33" s="156" t="s">
        <v>347</v>
      </c>
      <c r="H33" s="156" t="s">
        <v>348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356</v>
      </c>
      <c r="T33" s="67" t="s">
        <v>347</v>
      </c>
      <c r="U33" s="67" t="s">
        <v>348</v>
      </c>
      <c r="V33" s="67" t="s">
        <v>349</v>
      </c>
      <c r="W33" s="67" t="s">
        <v>350</v>
      </c>
      <c r="X33" s="67" t="s">
        <v>351</v>
      </c>
      <c r="Y33" s="67" t="s">
        <v>352</v>
      </c>
      <c r="Z33" s="67" t="s">
        <v>353</v>
      </c>
      <c r="AA33" s="67" t="s">
        <v>354</v>
      </c>
      <c r="AB33" s="67" t="s">
        <v>355</v>
      </c>
    </row>
    <row r="34" spans="2:28">
      <c r="B34" s="183"/>
      <c r="C34" s="187" t="s">
        <v>447</v>
      </c>
      <c r="D34" s="153" t="s">
        <v>446</v>
      </c>
      <c r="E34" s="156" t="s">
        <v>508</v>
      </c>
      <c r="F34" s="156" t="s">
        <v>508</v>
      </c>
      <c r="G34" s="156" t="s">
        <v>508</v>
      </c>
      <c r="H34" s="156" t="s">
        <v>508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601</v>
      </c>
      <c r="D35" s="153" t="s">
        <v>602</v>
      </c>
      <c r="E35" s="156" t="s">
        <v>600</v>
      </c>
      <c r="F35" s="156" t="s">
        <v>600</v>
      </c>
      <c r="G35" s="156" t="s">
        <v>600</v>
      </c>
      <c r="H35" s="156" t="s">
        <v>600</v>
      </c>
      <c r="I35" s="156" t="s">
        <v>600</v>
      </c>
      <c r="J35" s="156" t="s">
        <v>600</v>
      </c>
      <c r="K35" s="156" t="s">
        <v>600</v>
      </c>
      <c r="L35" s="156" t="s">
        <v>600</v>
      </c>
      <c r="M35" s="156" t="s">
        <v>600</v>
      </c>
      <c r="N35" s="156" t="s">
        <v>600</v>
      </c>
      <c r="O35" s="185" t="s">
        <v>141</v>
      </c>
      <c r="Q35" s="211"/>
      <c r="R35" s="67" t="s">
        <v>600</v>
      </c>
      <c r="S35" s="67" t="s">
        <v>603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439</v>
      </c>
      <c r="D36" s="119" t="s">
        <v>534</v>
      </c>
      <c r="E36" s="162" t="s">
        <v>651</v>
      </c>
      <c r="F36" s="162" t="s">
        <v>448</v>
      </c>
      <c r="G36" s="162" t="s">
        <v>449</v>
      </c>
      <c r="H36" s="162" t="s">
        <v>449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449</v>
      </c>
      <c r="S36" s="67" t="s">
        <v>448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266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346</v>
      </c>
      <c r="D39" s="198"/>
      <c r="E39" s="198" t="s">
        <v>527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528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532</v>
      </c>
      <c r="D46" s="201" t="s">
        <v>530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359</v>
      </c>
      <c r="K46" s="198"/>
      <c r="L46" s="198"/>
      <c r="M46" s="198"/>
      <c r="N46" s="198"/>
      <c r="O46" s="199"/>
    </row>
    <row r="47" spans="2:28">
      <c r="B47" s="193"/>
      <c r="C47" s="200" t="s">
        <v>345</v>
      </c>
      <c r="D47" s="201" t="s">
        <v>530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359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539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514</v>
      </c>
      <c r="D54" s="180" t="s">
        <v>510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521</v>
      </c>
      <c r="D55" s="153" t="s">
        <v>512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533</v>
      </c>
      <c r="D56" s="186">
        <f>SUMPRODUCT(E56:N56,E53:N53)</f>
        <v>1</v>
      </c>
      <c r="E56" s="288">
        <f t="shared" ref="E56:N56" si="6">E22</f>
        <v>1</v>
      </c>
      <c r="F56" s="288">
        <f t="shared" si="6"/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 t="shared" ref="E57:N57" si="7">E23</f>
        <v>DWD</v>
      </c>
      <c r="F57" s="156" t="str">
        <f t="shared" si="7"/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516</v>
      </c>
      <c r="D58" s="188"/>
      <c r="E58" s="156" t="str">
        <f t="shared" ref="E58:N58" si="8">E24</f>
        <v>Leipzig/Halle</v>
      </c>
      <c r="F58" s="156" t="str">
        <f t="shared" si="8"/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517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511</v>
      </c>
      <c r="D59" s="188"/>
      <c r="E59" s="160">
        <f t="shared" ref="E59:N59" si="9">E25</f>
        <v>10469</v>
      </c>
      <c r="F59" s="160" t="str">
        <f t="shared" si="9"/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">
        <v>501</v>
      </c>
      <c r="F60" s="158" t="str">
        <f t="shared" ref="F60:N60" si="10">F26</f>
        <v>Temp. (2m)</v>
      </c>
      <c r="G60" s="158" t="str">
        <f t="shared" si="10"/>
        <v>Temp. (2m)</v>
      </c>
      <c r="H60" s="158" t="str">
        <f t="shared" si="10"/>
        <v>Temp. (2m)</v>
      </c>
      <c r="I60" s="158" t="str">
        <f t="shared" si="10"/>
        <v>Temp. (2m)</v>
      </c>
      <c r="J60" s="158" t="str">
        <f t="shared" si="10"/>
        <v>Temp. (2m)</v>
      </c>
      <c r="K60" s="158" t="str">
        <f t="shared" si="10"/>
        <v>Temp. (2m)</v>
      </c>
      <c r="L60" s="158" t="str">
        <f t="shared" si="10"/>
        <v>Temp. (2m)</v>
      </c>
      <c r="M60" s="158" t="str">
        <f t="shared" si="10"/>
        <v>Temp. (2m)</v>
      </c>
      <c r="N60" s="158" t="str">
        <f t="shared" si="10"/>
        <v>Temp. (2m)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515</v>
      </c>
      <c r="D62" s="130"/>
      <c r="E62" s="130"/>
      <c r="F62" s="157"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522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529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144</v>
      </c>
    </row>
    <row r="67" spans="2:15">
      <c r="B67" s="183"/>
      <c r="C67" s="187" t="s">
        <v>358</v>
      </c>
      <c r="D67" s="153" t="s">
        <v>357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141</v>
      </c>
    </row>
    <row r="68" spans="2:15">
      <c r="B68" s="183"/>
      <c r="C68" s="187" t="s">
        <v>447</v>
      </c>
      <c r="D68" s="153" t="s">
        <v>446</v>
      </c>
      <c r="E68" s="159" t="s">
        <v>509</v>
      </c>
      <c r="F68" s="159" t="s">
        <v>509</v>
      </c>
      <c r="G68" s="159" t="s">
        <v>509</v>
      </c>
      <c r="H68" s="159" t="s">
        <v>509</v>
      </c>
      <c r="I68" s="162">
        <f t="shared" ref="I68:N68" si="15">I34</f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141</v>
      </c>
    </row>
    <row r="69" spans="2:15">
      <c r="B69" s="183"/>
      <c r="C69" s="187" t="s">
        <v>601</v>
      </c>
      <c r="D69" s="153" t="s">
        <v>602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141</v>
      </c>
    </row>
    <row r="70" spans="2:15">
      <c r="B70" s="183"/>
      <c r="C70" s="192" t="s">
        <v>439</v>
      </c>
      <c r="D70" s="119" t="s">
        <v>534</v>
      </c>
      <c r="E70" s="163" t="s">
        <v>449</v>
      </c>
      <c r="F70" s="163" t="s">
        <v>449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141</v>
      </c>
    </row>
    <row r="71" spans="2:15"/>
    <row r="72" spans="2:15" ht="15.75" customHeight="1">
      <c r="C72" s="352" t="s">
        <v>576</v>
      </c>
      <c r="D72" s="352"/>
      <c r="E72" s="352"/>
      <c r="F72" s="352"/>
    </row>
    <row r="73" spans="2:15"/>
    <row r="74" spans="2:15" hidden="1"/>
    <row r="75" spans="2:15" hidden="1"/>
    <row r="76" spans="2:15" hidden="1"/>
    <row r="77" spans="2:15" hidden="1"/>
    <row r="78" spans="2:15"/>
    <row r="79" spans="2:15"/>
  </sheetData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6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70:N70 F36:N36">
      <formula1>$R$36:$S$36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F60:N60">
      <formula1>#REF!</formula1>
    </dataValidation>
    <dataValidation type="list" errorStyle="warning" allowBlank="1" showInputMessage="1" showErrorMessage="1" sqref="E36">
      <formula1>$R$36:$S$36</formula1>
    </dataValidation>
    <dataValidation type="list" errorStyle="warning" allowBlank="1" showInputMessage="1" showErrorMessage="1" sqref="E60">
      <formula1>#REF!</formula1>
    </dataValidation>
  </dataValidations>
  <pageMargins left="0.25" right="0.25" top="0.75" bottom="0.75" header="0.3" footer="0.3"/>
  <pageSetup paperSize="9" scale="43" orientation="landscape" r:id="rId1"/>
  <ignoredErrors>
    <ignoredError sqref="E66:N67 F36:N36 F25:N25 E56:N59 E22:F22 I22:N22 F52 G24:N24 G70:N70 E32:N34 E69:N69 I68:N6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540</v>
      </c>
    </row>
    <row r="3" spans="1:56" ht="15" customHeight="1">
      <c r="B3" s="171"/>
    </row>
    <row r="4" spans="1:56">
      <c r="B4" s="130"/>
      <c r="C4" s="55" t="s">
        <v>441</v>
      </c>
      <c r="D4" s="56"/>
      <c r="E4" s="57" t="s">
        <v>483</v>
      </c>
      <c r="F4" s="130"/>
      <c r="M4" s="130"/>
      <c r="N4" s="130"/>
      <c r="O4" s="130"/>
    </row>
    <row r="5" spans="1:56">
      <c r="B5" s="130"/>
      <c r="C5" s="55" t="s">
        <v>440</v>
      </c>
      <c r="D5" s="56"/>
      <c r="E5" s="57" t="str">
        <f>Netzbetreiber!D28</f>
        <v>EVIP GmbH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484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493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518</v>
      </c>
      <c r="D9" s="130"/>
      <c r="E9" s="130"/>
      <c r="F9" s="154">
        <f>'SLP-Verfahren'!D43</f>
        <v>1</v>
      </c>
      <c r="H9" s="172" t="s">
        <v>597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581</v>
      </c>
      <c r="D10" s="130"/>
      <c r="E10" s="130"/>
      <c r="F10" s="299">
        <v>2</v>
      </c>
      <c r="G10" s="56"/>
      <c r="H10" s="172" t="s">
        <v>598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599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0" t="s">
        <v>580</v>
      </c>
      <c r="D13" s="350"/>
      <c r="E13" s="350"/>
      <c r="F13" s="183" t="s">
        <v>544</v>
      </c>
      <c r="G13" s="130" t="s">
        <v>542</v>
      </c>
      <c r="H13" s="265" t="s">
        <v>559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1" t="s">
        <v>444</v>
      </c>
      <c r="D14" s="351"/>
      <c r="E14" s="89" t="s">
        <v>445</v>
      </c>
      <c r="F14" s="266" t="s">
        <v>84</v>
      </c>
      <c r="G14" s="267" t="s">
        <v>568</v>
      </c>
      <c r="H14" s="51">
        <v>0</v>
      </c>
      <c r="I14" s="56"/>
      <c r="J14" s="130"/>
      <c r="K14" s="130"/>
      <c r="L14" s="130"/>
      <c r="M14" s="130"/>
      <c r="N14" s="130"/>
      <c r="O14" s="173" t="s">
        <v>523</v>
      </c>
      <c r="R14" s="209" t="s">
        <v>560</v>
      </c>
      <c r="S14" s="209" t="s">
        <v>561</v>
      </c>
      <c r="T14" s="209" t="s">
        <v>562</v>
      </c>
      <c r="U14" s="209" t="s">
        <v>563</v>
      </c>
      <c r="V14" s="209" t="s">
        <v>543</v>
      </c>
      <c r="W14" s="209" t="s">
        <v>564</v>
      </c>
      <c r="X14" s="209" t="s">
        <v>565</v>
      </c>
      <c r="Y14" s="209" t="s">
        <v>566</v>
      </c>
      <c r="Z14" s="209" t="s">
        <v>567</v>
      </c>
      <c r="AA14" s="209" t="s">
        <v>568</v>
      </c>
      <c r="AB14" s="209" t="s">
        <v>569</v>
      </c>
      <c r="AC14" s="209" t="s">
        <v>570</v>
      </c>
    </row>
    <row r="15" spans="1:56" ht="19.5" customHeight="1">
      <c r="B15" s="130"/>
      <c r="C15" s="351" t="s">
        <v>384</v>
      </c>
      <c r="D15" s="351"/>
      <c r="E15" s="89" t="s">
        <v>445</v>
      </c>
      <c r="F15" s="266" t="s">
        <v>70</v>
      </c>
      <c r="G15" s="267" t="s">
        <v>562</v>
      </c>
      <c r="H15" s="51">
        <v>0</v>
      </c>
      <c r="I15" s="56"/>
      <c r="J15" s="130"/>
      <c r="K15" s="130"/>
      <c r="L15" s="130"/>
      <c r="M15" s="130"/>
      <c r="N15" s="130"/>
      <c r="O15" s="161" t="s">
        <v>524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367</v>
      </c>
      <c r="AH15" s="264" t="s">
        <v>490</v>
      </c>
      <c r="AI15" s="264" t="s">
        <v>545</v>
      </c>
      <c r="AJ15" s="264" t="s">
        <v>546</v>
      </c>
      <c r="AK15" s="264" t="s">
        <v>547</v>
      </c>
      <c r="AL15" s="264" t="s">
        <v>548</v>
      </c>
      <c r="AM15" s="264" t="s">
        <v>549</v>
      </c>
      <c r="AN15" s="264" t="s">
        <v>550</v>
      </c>
      <c r="AO15" s="264" t="s">
        <v>551</v>
      </c>
      <c r="AP15" s="264" t="s">
        <v>552</v>
      </c>
      <c r="AQ15" s="264" t="s">
        <v>553</v>
      </c>
      <c r="AR15" s="264" t="s">
        <v>554</v>
      </c>
      <c r="AS15" s="264" t="s">
        <v>555</v>
      </c>
      <c r="AT15" s="264" t="s">
        <v>556</v>
      </c>
      <c r="AU15" s="264" t="s">
        <v>557</v>
      </c>
      <c r="AV15" s="264" t="s">
        <v>558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513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519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514</v>
      </c>
      <c r="D20" s="180" t="s">
        <v>510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521</v>
      </c>
      <c r="D21" s="153" t="s">
        <v>512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533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500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516</v>
      </c>
      <c r="D24" s="188"/>
      <c r="E24" s="156" t="s">
        <v>577</v>
      </c>
      <c r="F24" s="156" t="s">
        <v>578</v>
      </c>
      <c r="G24" s="156"/>
      <c r="H24" s="156"/>
      <c r="I24" s="156"/>
      <c r="J24" s="156"/>
      <c r="K24" s="156"/>
      <c r="L24" s="156"/>
      <c r="M24" s="156"/>
      <c r="N24" s="156"/>
      <c r="O24" s="185" t="s">
        <v>517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511</v>
      </c>
      <c r="D25" s="188"/>
      <c r="E25" s="160" t="s">
        <v>360</v>
      </c>
      <c r="F25" s="160" t="s">
        <v>360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501</v>
      </c>
      <c r="F26" s="156" t="s">
        <v>501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515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522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529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358</v>
      </c>
      <c r="D33" s="153" t="s">
        <v>357</v>
      </c>
      <c r="E33" s="156" t="s">
        <v>3</v>
      </c>
      <c r="F33" s="156" t="s">
        <v>356</v>
      </c>
      <c r="G33" s="156" t="s">
        <v>347</v>
      </c>
      <c r="H33" s="156" t="s">
        <v>348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356</v>
      </c>
      <c r="T33" s="67" t="s">
        <v>347</v>
      </c>
      <c r="U33" s="67" t="s">
        <v>348</v>
      </c>
      <c r="V33" s="67" t="s">
        <v>349</v>
      </c>
      <c r="W33" s="67" t="s">
        <v>350</v>
      </c>
      <c r="X33" s="67" t="s">
        <v>351</v>
      </c>
      <c r="Y33" s="67" t="s">
        <v>352</v>
      </c>
      <c r="Z33" s="67" t="s">
        <v>353</v>
      </c>
      <c r="AA33" s="67" t="s">
        <v>354</v>
      </c>
      <c r="AB33" s="67" t="s">
        <v>355</v>
      </c>
    </row>
    <row r="34" spans="2:28">
      <c r="B34" s="183"/>
      <c r="C34" s="187" t="s">
        <v>447</v>
      </c>
      <c r="D34" s="153" t="s">
        <v>446</v>
      </c>
      <c r="E34" s="156" t="s">
        <v>508</v>
      </c>
      <c r="F34" s="156" t="s">
        <v>508</v>
      </c>
      <c r="G34" s="156" t="s">
        <v>508</v>
      </c>
      <c r="H34" s="156" t="s">
        <v>508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601</v>
      </c>
      <c r="D35" s="153" t="s">
        <v>602</v>
      </c>
      <c r="E35" s="156" t="s">
        <v>600</v>
      </c>
      <c r="F35" s="156" t="s">
        <v>600</v>
      </c>
      <c r="G35" s="156" t="s">
        <v>600</v>
      </c>
      <c r="H35" s="156" t="s">
        <v>600</v>
      </c>
      <c r="I35" s="156" t="s">
        <v>600</v>
      </c>
      <c r="J35" s="156" t="s">
        <v>600</v>
      </c>
      <c r="K35" s="156" t="s">
        <v>600</v>
      </c>
      <c r="L35" s="156" t="s">
        <v>600</v>
      </c>
      <c r="M35" s="156" t="s">
        <v>600</v>
      </c>
      <c r="N35" s="156" t="s">
        <v>600</v>
      </c>
      <c r="O35" s="185" t="s">
        <v>141</v>
      </c>
      <c r="Q35" s="211"/>
      <c r="R35" s="67" t="s">
        <v>600</v>
      </c>
      <c r="S35" s="67" t="s">
        <v>603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439</v>
      </c>
      <c r="D36" s="119" t="s">
        <v>534</v>
      </c>
      <c r="E36" s="162" t="s">
        <v>448</v>
      </c>
      <c r="F36" s="162" t="s">
        <v>448</v>
      </c>
      <c r="G36" s="162" t="s">
        <v>449</v>
      </c>
      <c r="H36" s="162" t="s">
        <v>449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449</v>
      </c>
      <c r="S36" s="67" t="s">
        <v>448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266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346</v>
      </c>
      <c r="D39" s="198"/>
      <c r="E39" s="198" t="s">
        <v>527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528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532</v>
      </c>
      <c r="D46" s="201" t="s">
        <v>530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359</v>
      </c>
      <c r="K46" s="198"/>
      <c r="L46" s="198"/>
      <c r="M46" s="198"/>
      <c r="N46" s="198"/>
      <c r="O46" s="199"/>
    </row>
    <row r="47" spans="2:28">
      <c r="B47" s="193"/>
      <c r="C47" s="200" t="s">
        <v>345</v>
      </c>
      <c r="D47" s="201" t="s">
        <v>530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359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539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514</v>
      </c>
      <c r="D54" s="180" t="s">
        <v>510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521</v>
      </c>
      <c r="D55" s="153" t="s">
        <v>512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533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516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517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511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515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522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529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358</v>
      </c>
      <c r="D67" s="153" t="s">
        <v>357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>
      <c r="B68" s="183"/>
      <c r="C68" s="187" t="s">
        <v>447</v>
      </c>
      <c r="D68" s="153" t="s">
        <v>446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>
      <c r="B69" s="183"/>
      <c r="C69" s="187" t="s">
        <v>601</v>
      </c>
      <c r="D69" s="153" t="s">
        <v>602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>
      <c r="B70" s="183"/>
      <c r="C70" s="192" t="s">
        <v>439</v>
      </c>
      <c r="D70" s="119" t="s">
        <v>534</v>
      </c>
      <c r="E70" s="163" t="s">
        <v>449</v>
      </c>
      <c r="F70" s="163" t="s">
        <v>449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spans="2:15"/>
    <row r="72" spans="2:15" ht="15.75" customHeight="1">
      <c r="C72" s="352" t="s">
        <v>576</v>
      </c>
      <c r="D72" s="352"/>
      <c r="E72" s="352"/>
      <c r="F72" s="352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7" sqref="D7:D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5.140625" style="128" bestFit="1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361</v>
      </c>
    </row>
    <row r="3" spans="2:26">
      <c r="B3" s="130" t="s">
        <v>462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366</v>
      </c>
      <c r="D5" s="53" t="str">
        <f>Netzbetreiber!$D$9</f>
        <v>EVIP GmbH</v>
      </c>
      <c r="E5" s="130"/>
      <c r="H5" s="88" t="s">
        <v>493</v>
      </c>
      <c r="I5" s="131" t="s">
        <v>496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333</v>
      </c>
      <c r="D6" s="53" t="str">
        <f>Netzbetreiber!$D$28</f>
        <v>EVIP GmbH</v>
      </c>
      <c r="E6" s="130"/>
      <c r="F6" s="130"/>
      <c r="I6" s="131" t="s">
        <v>506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484</v>
      </c>
      <c r="D7" s="365">
        <f>Netzbetreiber!$D$11</f>
        <v>9870105300006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132</v>
      </c>
      <c r="D8" s="366">
        <f>Netzbetreiber!$D$6</f>
        <v>44593</v>
      </c>
      <c r="E8" s="130"/>
      <c r="F8" s="130"/>
      <c r="H8" s="128" t="s">
        <v>492</v>
      </c>
      <c r="J8" s="132">
        <f>COUNTA(D12:D100)</f>
        <v>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491</v>
      </c>
      <c r="D10" s="134" t="s">
        <v>146</v>
      </c>
      <c r="E10" s="277" t="s">
        <v>507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631</v>
      </c>
      <c r="M10" s="150" t="s">
        <v>640</v>
      </c>
      <c r="N10" s="151" t="s">
        <v>641</v>
      </c>
      <c r="O10" s="151" t="s">
        <v>642</v>
      </c>
      <c r="P10" s="152" t="s">
        <v>643</v>
      </c>
      <c r="Q10" s="146" t="s">
        <v>632</v>
      </c>
      <c r="R10" s="136" t="s">
        <v>633</v>
      </c>
      <c r="S10" s="137" t="s">
        <v>634</v>
      </c>
      <c r="T10" s="137" t="s">
        <v>635</v>
      </c>
      <c r="U10" s="137" t="s">
        <v>636</v>
      </c>
      <c r="V10" s="137" t="s">
        <v>637</v>
      </c>
      <c r="W10" s="137" t="s">
        <v>638</v>
      </c>
      <c r="X10" s="138" t="s">
        <v>639</v>
      </c>
      <c r="Y10" s="305" t="s">
        <v>644</v>
      </c>
    </row>
    <row r="11" spans="2:26" ht="15.75" thickBot="1">
      <c r="B11" s="139"/>
      <c r="C11" s="140"/>
      <c r="D11" s="304"/>
      <c r="E11" s="164"/>
      <c r="F11" s="306"/>
      <c r="H11" s="167"/>
      <c r="I11" s="167"/>
      <c r="J11" s="167"/>
      <c r="K11" s="167"/>
      <c r="L11" s="214"/>
      <c r="M11" s="167"/>
      <c r="N11" s="167"/>
      <c r="O11" s="167"/>
      <c r="P11" s="167"/>
      <c r="Q11" s="213"/>
      <c r="R11" s="168"/>
      <c r="S11" s="168"/>
      <c r="T11" s="168"/>
      <c r="U11" s="168"/>
      <c r="V11" s="168"/>
      <c r="W11" s="168"/>
      <c r="X11" s="169"/>
      <c r="Y11" s="302"/>
    </row>
    <row r="12" spans="2:26">
      <c r="B12" s="141">
        <v>1</v>
      </c>
      <c r="C12" s="142" t="str">
        <f t="shared" ref="C12:C41" si="0">$D$6</f>
        <v>EVIP GmbH</v>
      </c>
      <c r="D12" s="62" t="s">
        <v>247</v>
      </c>
      <c r="E12" s="165" t="s">
        <v>661</v>
      </c>
      <c r="F12" s="307" t="str">
        <f>VLOOKUP($E12,'BDEW-Standard'!$B$3:$M$158,F$9,0)</f>
        <v>BH4</v>
      </c>
      <c r="H12" s="278">
        <f>ROUND(VLOOKUP($E12,'BDEW-Standard'!$B$3:$M$158,H$9,0),7)</f>
        <v>2.4595180999999999</v>
      </c>
      <c r="I12" s="278">
        <f>ROUND(VLOOKUP($E12,'BDEW-Standard'!$B$3:$M$158,I$9,0),7)</f>
        <v>-35.253212400000002</v>
      </c>
      <c r="J12" s="278">
        <f>ROUND(VLOOKUP($E12,'BDEW-Standard'!$B$3:$M$158,J$9,0),7)</f>
        <v>6.0587001000000003</v>
      </c>
      <c r="K12" s="278">
        <f>ROUND(VLOOKUP($E12,'BDEW-Standard'!$B$3:$M$158,K$9,0),7)</f>
        <v>0.16473699999999999</v>
      </c>
      <c r="L12" s="279">
        <f>ROUND(VLOOKUP($E12,'BDEW-Standard'!$B$3:$M$158,L$9,0),1)</f>
        <v>40</v>
      </c>
      <c r="M12" s="278">
        <f>ROUND(VLOOKUP($E12,'BDEW-Standard'!$B$3:$M$158,M$9,0),7)</f>
        <v>0</v>
      </c>
      <c r="N12" s="278">
        <f>ROUND(VLOOKUP($E12,'BDEW-Standard'!$B$3:$M$158,N$9,0),7)</f>
        <v>0</v>
      </c>
      <c r="O12" s="278">
        <f>ROUND(VLOOKUP($E12,'BDEW-Standard'!$B$3:$M$158,O$9,0),7)</f>
        <v>0</v>
      </c>
      <c r="P12" s="278">
        <f>ROUND(VLOOKUP($E12,'BDEW-Standard'!$B$3:$M$158,P$9,0),7)</f>
        <v>0</v>
      </c>
      <c r="Q12" s="280">
        <f t="shared" ref="Q12:Q16" si="1">($H12/(1+($I12/($Q$9-$L12))^$J12)+$K12)+MAX($M12*$Q$9+$N12,$O12*$Q$9+$P12)</f>
        <v>1.043802057143173</v>
      </c>
      <c r="R12" s="281">
        <f>ROUND(VLOOKUP(MID($E12,4,3),'Wochentag F(WT)'!$B$7:$J$22,R$9,0),4)</f>
        <v>0.97670000000000001</v>
      </c>
      <c r="S12" s="281">
        <f>ROUND(VLOOKUP(MID($E12,4,3),'Wochentag F(WT)'!$B$7:$J$22,S$9,0),4)</f>
        <v>1.0388999999999999</v>
      </c>
      <c r="T12" s="281">
        <f>ROUND(VLOOKUP(MID($E12,4,3),'Wochentag F(WT)'!$B$7:$J$22,T$9,0),4)</f>
        <v>1.0027999999999999</v>
      </c>
      <c r="U12" s="281">
        <f>ROUND(VLOOKUP(MID($E12,4,3),'Wochentag F(WT)'!$B$7:$J$22,U$9,0),4)</f>
        <v>1.0162</v>
      </c>
      <c r="V12" s="281">
        <f>ROUND(VLOOKUP(MID($E12,4,3),'Wochentag F(WT)'!$B$7:$J$22,V$9,0),4)</f>
        <v>1.0024</v>
      </c>
      <c r="W12" s="281">
        <f>ROUND(VLOOKUP(MID($E12,4,3),'Wochentag F(WT)'!$B$7:$J$22,W$9,0),4)</f>
        <v>1.0043</v>
      </c>
      <c r="X12" s="282">
        <f>7-SUM(R12:W12)</f>
        <v>0.95870000000000122</v>
      </c>
      <c r="Y12" s="303"/>
      <c r="Z12" s="212"/>
    </row>
    <row r="13" spans="2:26" s="143" customFormat="1">
      <c r="B13" s="144">
        <v>2</v>
      </c>
      <c r="C13" s="145" t="str">
        <f t="shared" si="0"/>
        <v>EVIP GmbH</v>
      </c>
      <c r="D13" s="62" t="s">
        <v>247</v>
      </c>
      <c r="E13" s="165" t="s">
        <v>662</v>
      </c>
      <c r="F13" s="307" t="str">
        <f>VLOOKUP($E13,'BDEW-Standard'!$B$3:$M$158,F$9,0)</f>
        <v>KO4</v>
      </c>
      <c r="H13" s="278">
        <f>ROUND(VLOOKUP($E13,'BDEW-Standard'!$B$3:$M$158,H$9,0),7)</f>
        <v>3.4428942999999999</v>
      </c>
      <c r="I13" s="278">
        <f>ROUND(VLOOKUP($E13,'BDEW-Standard'!$B$3:$M$158,I$9,0),7)</f>
        <v>-36.659050399999998</v>
      </c>
      <c r="J13" s="278">
        <f>ROUND(VLOOKUP($E13,'BDEW-Standard'!$B$3:$M$158,J$9,0),7)</f>
        <v>7.6083226000000002</v>
      </c>
      <c r="K13" s="278">
        <f>ROUND(VLOOKUP($E13,'BDEW-Standard'!$B$3:$M$158,K$9,0),7)</f>
        <v>7.4685000000000001E-2</v>
      </c>
      <c r="L13" s="279">
        <f>ROUND(VLOOKUP($E13,'BDEW-Standard'!$B$3:$M$158,L$9,0),1)</f>
        <v>40</v>
      </c>
      <c r="M13" s="278">
        <f>ROUND(VLOOKUP($E13,'BDEW-Standard'!$B$3:$M$158,M$9,0),7)</f>
        <v>0</v>
      </c>
      <c r="N13" s="278">
        <f>ROUND(VLOOKUP($E13,'BDEW-Standard'!$B$3:$M$158,N$9,0),7)</f>
        <v>0</v>
      </c>
      <c r="O13" s="278">
        <f>ROUND(VLOOKUP($E13,'BDEW-Standard'!$B$3:$M$158,O$9,0),7)</f>
        <v>0</v>
      </c>
      <c r="P13" s="278">
        <f>ROUND(VLOOKUP($E13,'BDEW-Standard'!$B$3:$M$158,P$9,0),7)</f>
        <v>0</v>
      </c>
      <c r="Q13" s="280">
        <f t="shared" si="1"/>
        <v>0.97768382110526542</v>
      </c>
      <c r="R13" s="281">
        <f>ROUND(VLOOKUP(MID($E13,4,3),'Wochentag F(WT)'!$B$7:$J$22,R$9,0),4)</f>
        <v>1.0354000000000001</v>
      </c>
      <c r="S13" s="281">
        <f>ROUND(VLOOKUP(MID($E13,4,3),'Wochentag F(WT)'!$B$7:$J$22,S$9,0),4)</f>
        <v>1.0523</v>
      </c>
      <c r="T13" s="281">
        <f>ROUND(VLOOKUP(MID($E13,4,3),'Wochentag F(WT)'!$B$7:$J$22,T$9,0),4)</f>
        <v>1.0448999999999999</v>
      </c>
      <c r="U13" s="281">
        <f>ROUND(VLOOKUP(MID($E13,4,3),'Wochentag F(WT)'!$B$7:$J$22,U$9,0),4)</f>
        <v>1.0494000000000001</v>
      </c>
      <c r="V13" s="281">
        <f>ROUND(VLOOKUP(MID($E13,4,3),'Wochentag F(WT)'!$B$7:$J$22,V$9,0),4)</f>
        <v>0.98850000000000005</v>
      </c>
      <c r="W13" s="281">
        <f>ROUND(VLOOKUP(MID($E13,4,3),'Wochentag F(WT)'!$B$7:$J$22,W$9,0),4)</f>
        <v>0.88600000000000001</v>
      </c>
      <c r="X13" s="282">
        <f t="shared" ref="X13:X16" si="2">7-SUM(R13:W13)</f>
        <v>0.94349999999999934</v>
      </c>
      <c r="Y13" s="303"/>
      <c r="Z13" s="212"/>
    </row>
    <row r="14" spans="2:26" s="143" customFormat="1">
      <c r="B14" s="144">
        <v>3</v>
      </c>
      <c r="C14" s="145" t="str">
        <f t="shared" si="0"/>
        <v>EVIP GmbH</v>
      </c>
      <c r="D14" s="62" t="s">
        <v>247</v>
      </c>
      <c r="E14" s="165" t="s">
        <v>663</v>
      </c>
      <c r="F14" s="307" t="str">
        <f>VLOOKUP($E14,'BDEW-Standard'!$B$3:$M$158,F$9,0)</f>
        <v>BD4</v>
      </c>
      <c r="H14" s="278">
        <f>ROUND(VLOOKUP($E14,'BDEW-Standard'!$B$3:$M$158,H$9,0),7)</f>
        <v>3.75</v>
      </c>
      <c r="I14" s="278">
        <f>ROUND(VLOOKUP($E14,'BDEW-Standard'!$B$3:$M$158,I$9,0),7)</f>
        <v>-37.5</v>
      </c>
      <c r="J14" s="278">
        <f>ROUND(VLOOKUP($E14,'BDEW-Standard'!$B$3:$M$158,J$9,0),7)</f>
        <v>6.8</v>
      </c>
      <c r="K14" s="278">
        <f>ROUND(VLOOKUP($E14,'BDEW-Standard'!$B$3:$M$158,K$9,0),7)</f>
        <v>6.0911300000000002E-2</v>
      </c>
      <c r="L14" s="279">
        <f>ROUND(VLOOKUP($E14,'BDEW-Standard'!$B$3:$M$158,L$9,0),1)</f>
        <v>40</v>
      </c>
      <c r="M14" s="278">
        <f>ROUND(VLOOKUP($E14,'BDEW-Standard'!$B$3:$M$158,M$9,0),7)</f>
        <v>0</v>
      </c>
      <c r="N14" s="278">
        <f>ROUND(VLOOKUP($E14,'BDEW-Standard'!$B$3:$M$158,N$9,0),7)</f>
        <v>0</v>
      </c>
      <c r="O14" s="278">
        <f>ROUND(VLOOKUP($E14,'BDEW-Standard'!$B$3:$M$158,O$9,0),7)</f>
        <v>0</v>
      </c>
      <c r="P14" s="278">
        <f>ROUND(VLOOKUP($E14,'BDEW-Standard'!$B$3:$M$158,P$9,0),7)</f>
        <v>0</v>
      </c>
      <c r="Q14" s="280">
        <f t="shared" si="1"/>
        <v>1.0126136468627658</v>
      </c>
      <c r="R14" s="281">
        <f>ROUND(VLOOKUP(MID($E14,4,3),'Wochentag F(WT)'!$B$7:$J$22,R$9,0),4)</f>
        <v>1.1052</v>
      </c>
      <c r="S14" s="281">
        <f>ROUND(VLOOKUP(MID($E14,4,3),'Wochentag F(WT)'!$B$7:$J$22,S$9,0),4)</f>
        <v>1.0857000000000001</v>
      </c>
      <c r="T14" s="281">
        <f>ROUND(VLOOKUP(MID($E14,4,3),'Wochentag F(WT)'!$B$7:$J$22,T$9,0),4)</f>
        <v>1.0378000000000001</v>
      </c>
      <c r="U14" s="281">
        <f>ROUND(VLOOKUP(MID($E14,4,3),'Wochentag F(WT)'!$B$7:$J$22,U$9,0),4)</f>
        <v>1.0622</v>
      </c>
      <c r="V14" s="281">
        <f>ROUND(VLOOKUP(MID($E14,4,3),'Wochentag F(WT)'!$B$7:$J$22,V$9,0),4)</f>
        <v>1.0266</v>
      </c>
      <c r="W14" s="281">
        <f>ROUND(VLOOKUP(MID($E14,4,3),'Wochentag F(WT)'!$B$7:$J$22,W$9,0),4)</f>
        <v>0.76290000000000002</v>
      </c>
      <c r="X14" s="282">
        <f t="shared" si="2"/>
        <v>0.91959999999999997</v>
      </c>
      <c r="Y14" s="303"/>
      <c r="Z14" s="212"/>
    </row>
    <row r="15" spans="2:26" s="143" customFormat="1">
      <c r="B15" s="144">
        <v>4</v>
      </c>
      <c r="C15" s="145" t="str">
        <f t="shared" si="0"/>
        <v>EVIP GmbH</v>
      </c>
      <c r="D15" s="62" t="s">
        <v>247</v>
      </c>
      <c r="E15" s="165" t="s">
        <v>57</v>
      </c>
      <c r="F15" s="307" t="str">
        <f>VLOOKUP($E15,'BDEW-Standard'!$B$3:$M$158,F$9,0)</f>
        <v>C14</v>
      </c>
      <c r="H15" s="278">
        <f>ROUND(VLOOKUP($E15,'BDEW-Standard'!$B$3:$M$158,H$9,0),7)</f>
        <v>3.159294</v>
      </c>
      <c r="I15" s="278">
        <f>ROUND(VLOOKUP($E15,'BDEW-Standard'!$B$3:$M$158,I$9,0),7)</f>
        <v>-37.406886</v>
      </c>
      <c r="J15" s="278">
        <f>ROUND(VLOOKUP($E15,'BDEW-Standard'!$B$3:$M$158,J$9,0),7)</f>
        <v>6.1418926000000003</v>
      </c>
      <c r="K15" s="278">
        <f>ROUND(VLOOKUP($E15,'BDEW-Standard'!$B$3:$M$158,K$9,0),7)</f>
        <v>9.4704399999999994E-2</v>
      </c>
      <c r="L15" s="279">
        <f>ROUND(VLOOKUP($E15,'BDEW-Standard'!$B$3:$M$158,L$9,0),1)</f>
        <v>40</v>
      </c>
      <c r="M15" s="278">
        <f>ROUND(VLOOKUP($E15,'BDEW-Standard'!$B$3:$M$158,M$9,0),7)</f>
        <v>0</v>
      </c>
      <c r="N15" s="278">
        <f>ROUND(VLOOKUP($E15,'BDEW-Standard'!$B$3:$M$158,N$9,0),7)</f>
        <v>0</v>
      </c>
      <c r="O15" s="278">
        <f>ROUND(VLOOKUP($E15,'BDEW-Standard'!$B$3:$M$158,O$9,0),7)</f>
        <v>0</v>
      </c>
      <c r="P15" s="278">
        <f>ROUND(VLOOKUP($E15,'BDEW-Standard'!$B$3:$M$158,P$9,0),7)</f>
        <v>0</v>
      </c>
      <c r="Q15" s="280">
        <f t="shared" si="1"/>
        <v>0.97016180224521154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3"/>
      <c r="Z15" s="212"/>
    </row>
    <row r="16" spans="2:26" s="143" customFormat="1">
      <c r="B16" s="144">
        <v>5</v>
      </c>
      <c r="C16" s="145" t="str">
        <f t="shared" si="0"/>
        <v>EVIP GmbH</v>
      </c>
      <c r="D16" s="62" t="s">
        <v>247</v>
      </c>
      <c r="E16" s="165" t="s">
        <v>67</v>
      </c>
      <c r="F16" s="307" t="str">
        <f>VLOOKUP($E16,'BDEW-Standard'!$B$3:$M$158,F$9,0)</f>
        <v>C24</v>
      </c>
      <c r="H16" s="278">
        <f>ROUND(VLOOKUP($E16,'BDEW-Standard'!$B$3:$M$158,H$9,0),7)</f>
        <v>2.4859160999999999</v>
      </c>
      <c r="I16" s="278">
        <f>ROUND(VLOOKUP($E16,'BDEW-Standard'!$B$3:$M$158,I$9,0),7)</f>
        <v>-35.043597800000001</v>
      </c>
      <c r="J16" s="278">
        <f>ROUND(VLOOKUP($E16,'BDEW-Standard'!$B$3:$M$158,J$9,0),7)</f>
        <v>6.2818214000000001</v>
      </c>
      <c r="K16" s="278">
        <f>ROUND(VLOOKUP($E16,'BDEW-Standard'!$B$3:$M$158,K$9,0),7)</f>
        <v>0.13178339999999999</v>
      </c>
      <c r="L16" s="279">
        <f>ROUND(VLOOKUP($E16,'BDEW-Standard'!$B$3:$M$158,L$9,0),1)</f>
        <v>40</v>
      </c>
      <c r="M16" s="278">
        <f>ROUND(VLOOKUP($E16,'BDEW-Standard'!$B$3:$M$158,M$9,0),7)</f>
        <v>0</v>
      </c>
      <c r="N16" s="278">
        <f>ROUND(VLOOKUP($E16,'BDEW-Standard'!$B$3:$M$158,N$9,0),7)</f>
        <v>0</v>
      </c>
      <c r="O16" s="278">
        <f>ROUND(VLOOKUP($E16,'BDEW-Standard'!$B$3:$M$158,O$9,0),7)</f>
        <v>0</v>
      </c>
      <c r="P16" s="278">
        <f>ROUND(VLOOKUP($E16,'BDEW-Standard'!$B$3:$M$158,P$9,0),7)</f>
        <v>0</v>
      </c>
      <c r="Q16" s="280">
        <f t="shared" si="1"/>
        <v>1.0293590127680663</v>
      </c>
      <c r="R16" s="281">
        <f>ROUND(VLOOKUP(MID($E16,4,3),'Wochentag F(WT)'!$B$7:$J$22,R$9,0),4)</f>
        <v>1</v>
      </c>
      <c r="S16" s="281">
        <f>ROUND(VLOOKUP(MID($E16,4,3),'Wochentag F(WT)'!$B$7:$J$22,S$9,0),4)</f>
        <v>1</v>
      </c>
      <c r="T16" s="281">
        <f>ROUND(VLOOKUP(MID($E16,4,3),'Wochentag F(WT)'!$B$7:$J$22,T$9,0),4)</f>
        <v>1</v>
      </c>
      <c r="U16" s="281">
        <f>ROUND(VLOOKUP(MID($E16,4,3),'Wochentag F(WT)'!$B$7:$J$22,U$9,0),4)</f>
        <v>1</v>
      </c>
      <c r="V16" s="281">
        <f>ROUND(VLOOKUP(MID($E16,4,3),'Wochentag F(WT)'!$B$7:$J$22,V$9,0),4)</f>
        <v>1</v>
      </c>
      <c r="W16" s="281">
        <f>ROUND(VLOOKUP(MID($E16,4,3),'Wochentag F(WT)'!$B$7:$J$22,W$9,0),4)</f>
        <v>1</v>
      </c>
      <c r="X16" s="282">
        <f t="shared" si="2"/>
        <v>1</v>
      </c>
      <c r="Y16" s="303"/>
      <c r="Z16" s="212"/>
    </row>
    <row r="17" spans="2:26" s="143" customFormat="1">
      <c r="B17" s="144">
        <v>6</v>
      </c>
      <c r="C17" s="145" t="str">
        <f t="shared" si="0"/>
        <v>EVIP GmbH</v>
      </c>
      <c r="D17" s="62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3" customFormat="1">
      <c r="B18" s="144">
        <v>7</v>
      </c>
      <c r="C18" s="145" t="str">
        <f t="shared" si="0"/>
        <v>EVIP GmbH</v>
      </c>
      <c r="D18" s="62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3" customFormat="1">
      <c r="B19" s="144">
        <v>8</v>
      </c>
      <c r="C19" s="145" t="str">
        <f t="shared" si="0"/>
        <v>EVIP GmbH</v>
      </c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 t="str">
        <f t="shared" si="0"/>
        <v>EVIP GmbH</v>
      </c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 t="str">
        <f t="shared" si="0"/>
        <v>EVIP GmbH</v>
      </c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 t="str">
        <f t="shared" si="0"/>
        <v>EVIP GmbH</v>
      </c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 t="str">
        <f t="shared" si="0"/>
        <v>EVIP GmbH</v>
      </c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0"/>
        <v>EVIP GmbH</v>
      </c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0"/>
        <v>EVIP GmbH</v>
      </c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0"/>
        <v>EVIP GmbH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EVIP GmbH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EVIP GmbH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EVIP GmbH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EVIP GmbH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EVIP GmbH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EVIP GmbH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EVIP GmbH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EVIP GmbH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EVIP GmbH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EVIP GmbH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EVIP GmbH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EVIP GmbH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EVIP GmbH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EVIP GmbH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EVIP GmbH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18" zoomScale="80" zoomScaleNormal="80" workbookViewId="0">
      <selection activeCell="B152" sqref="B152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343</v>
      </c>
      <c r="B1" s="216">
        <v>42173</v>
      </c>
      <c r="D1" s="131" t="s">
        <v>450</v>
      </c>
      <c r="F1" s="217" t="s">
        <v>541</v>
      </c>
      <c r="N1" s="218"/>
    </row>
    <row r="2" spans="1:14" ht="25.5">
      <c r="A2" s="219" t="s">
        <v>267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153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154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155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156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157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158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159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160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161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245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162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163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164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165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166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167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168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169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170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171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172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173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174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175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176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177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178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179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180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181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182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183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184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185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187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188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189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190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191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192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193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194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195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196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197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198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199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200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201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202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203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204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205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206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207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208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209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210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211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212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213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214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215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217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219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220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221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222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223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224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225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226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227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229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230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232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233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234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235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236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237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238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239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240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244</v>
      </c>
      <c r="B95" s="128" t="s">
        <v>49</v>
      </c>
      <c r="C95" s="128" t="s">
        <v>313</v>
      </c>
      <c r="D95" s="235" t="s">
        <v>268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244</v>
      </c>
      <c r="B96" s="128" t="s">
        <v>54</v>
      </c>
      <c r="C96" s="128" t="s">
        <v>318</v>
      </c>
      <c r="D96" s="235" t="s">
        <v>268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244</v>
      </c>
      <c r="B97" s="128" t="s">
        <v>59</v>
      </c>
      <c r="C97" s="128" t="s">
        <v>323</v>
      </c>
      <c r="D97" s="235" t="s">
        <v>268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244</v>
      </c>
      <c r="B98" s="128" t="s">
        <v>64</v>
      </c>
      <c r="C98" s="128" t="s">
        <v>328</v>
      </c>
      <c r="D98" s="235" t="s">
        <v>268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244</v>
      </c>
      <c r="B99" s="128" t="s">
        <v>17</v>
      </c>
      <c r="C99" s="128" t="s">
        <v>281</v>
      </c>
      <c r="D99" s="235" t="s">
        <v>268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244</v>
      </c>
      <c r="B100" s="128" t="s">
        <v>21</v>
      </c>
      <c r="C100" s="128" t="s">
        <v>285</v>
      </c>
      <c r="D100" s="235" t="s">
        <v>268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244</v>
      </c>
      <c r="B101" s="128" t="s">
        <v>25</v>
      </c>
      <c r="C101" s="128" t="s">
        <v>289</v>
      </c>
      <c r="D101" s="235" t="s">
        <v>268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244</v>
      </c>
      <c r="B102" s="128" t="s">
        <v>29</v>
      </c>
      <c r="C102" s="128" t="s">
        <v>293</v>
      </c>
      <c r="D102" s="235" t="s">
        <v>268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244</v>
      </c>
      <c r="B103" s="128" t="s">
        <v>33</v>
      </c>
      <c r="C103" s="128" t="s">
        <v>297</v>
      </c>
      <c r="D103" s="235" t="s">
        <v>268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244</v>
      </c>
      <c r="B104" s="128" t="s">
        <v>37</v>
      </c>
      <c r="C104" s="128" t="s">
        <v>301</v>
      </c>
      <c r="D104" s="235" t="s">
        <v>268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244</v>
      </c>
      <c r="B105" s="128" t="s">
        <v>41</v>
      </c>
      <c r="C105" s="128" t="s">
        <v>305</v>
      </c>
      <c r="D105" s="235" t="s">
        <v>268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244</v>
      </c>
      <c r="B106" s="128" t="s">
        <v>45</v>
      </c>
      <c r="C106" s="128" t="s">
        <v>309</v>
      </c>
      <c r="D106" s="235" t="s">
        <v>268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244</v>
      </c>
      <c r="B107" s="128" t="s">
        <v>50</v>
      </c>
      <c r="C107" s="128" t="s">
        <v>314</v>
      </c>
      <c r="D107" s="235" t="s">
        <v>268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244</v>
      </c>
      <c r="B108" s="128" t="s">
        <v>55</v>
      </c>
      <c r="C108" s="128" t="s">
        <v>319</v>
      </c>
      <c r="D108" s="235" t="s">
        <v>268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244</v>
      </c>
      <c r="B109" s="128" t="s">
        <v>60</v>
      </c>
      <c r="C109" s="128" t="s">
        <v>324</v>
      </c>
      <c r="D109" s="235" t="s">
        <v>268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244</v>
      </c>
      <c r="B110" s="128" t="s">
        <v>65</v>
      </c>
      <c r="C110" s="128" t="s">
        <v>329</v>
      </c>
      <c r="D110" s="235" t="s">
        <v>268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244</v>
      </c>
      <c r="B111" s="128" t="s">
        <v>5</v>
      </c>
      <c r="C111" s="128" t="s">
        <v>269</v>
      </c>
      <c r="D111" s="235" t="s">
        <v>268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244</v>
      </c>
      <c r="B112" s="128" t="s">
        <v>6</v>
      </c>
      <c r="C112" s="128" t="s">
        <v>270</v>
      </c>
      <c r="D112" s="235" t="s">
        <v>268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244</v>
      </c>
      <c r="B113" s="128" t="s">
        <v>7</v>
      </c>
      <c r="C113" s="128" t="s">
        <v>271</v>
      </c>
      <c r="D113" s="235" t="s">
        <v>268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244</v>
      </c>
      <c r="B114" s="128" t="s">
        <v>8</v>
      </c>
      <c r="C114" s="128" t="s">
        <v>272</v>
      </c>
      <c r="D114" s="235" t="s">
        <v>268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244</v>
      </c>
      <c r="B115" s="128" t="s">
        <v>18</v>
      </c>
      <c r="C115" s="128" t="s">
        <v>282</v>
      </c>
      <c r="D115" s="235" t="s">
        <v>268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244</v>
      </c>
      <c r="B116" s="128" t="s">
        <v>22</v>
      </c>
      <c r="C116" s="128" t="s">
        <v>286</v>
      </c>
      <c r="D116" s="235" t="s">
        <v>268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244</v>
      </c>
      <c r="B117" s="128" t="s">
        <v>26</v>
      </c>
      <c r="C117" s="128" t="s">
        <v>290</v>
      </c>
      <c r="D117" s="235" t="s">
        <v>268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244</v>
      </c>
      <c r="B118" s="128" t="s">
        <v>30</v>
      </c>
      <c r="C118" s="128" t="s">
        <v>294</v>
      </c>
      <c r="D118" s="235" t="s">
        <v>268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244</v>
      </c>
      <c r="B119" s="128" t="s">
        <v>9</v>
      </c>
      <c r="C119" s="128" t="s">
        <v>273</v>
      </c>
      <c r="D119" s="235" t="s">
        <v>268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244</v>
      </c>
      <c r="B120" s="128" t="s">
        <v>11</v>
      </c>
      <c r="C120" s="128" t="s">
        <v>275</v>
      </c>
      <c r="D120" s="235" t="s">
        <v>268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244</v>
      </c>
      <c r="B121" s="128" t="s">
        <v>13</v>
      </c>
      <c r="C121" s="128" t="s">
        <v>277</v>
      </c>
      <c r="D121" s="235" t="s">
        <v>268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244</v>
      </c>
      <c r="B122" s="128" t="s">
        <v>15</v>
      </c>
      <c r="C122" s="128" t="s">
        <v>279</v>
      </c>
      <c r="D122" s="235" t="s">
        <v>268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244</v>
      </c>
      <c r="B123" s="128" t="s">
        <v>51</v>
      </c>
      <c r="C123" s="128" t="s">
        <v>315</v>
      </c>
      <c r="D123" s="235" t="s">
        <v>268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244</v>
      </c>
      <c r="B124" s="128" t="s">
        <v>56</v>
      </c>
      <c r="C124" s="128" t="s">
        <v>320</v>
      </c>
      <c r="D124" s="235" t="s">
        <v>268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244</v>
      </c>
      <c r="B125" s="128" t="s">
        <v>61</v>
      </c>
      <c r="C125" s="128" t="s">
        <v>325</v>
      </c>
      <c r="D125" s="235" t="s">
        <v>268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244</v>
      </c>
      <c r="B126" s="128" t="s">
        <v>66</v>
      </c>
      <c r="C126" s="128" t="s">
        <v>330</v>
      </c>
      <c r="D126" s="235" t="s">
        <v>268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244</v>
      </c>
      <c r="B127" s="128" t="s">
        <v>19</v>
      </c>
      <c r="C127" s="128" t="s">
        <v>283</v>
      </c>
      <c r="D127" s="235" t="s">
        <v>268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244</v>
      </c>
      <c r="B128" s="128" t="s">
        <v>23</v>
      </c>
      <c r="C128" s="128" t="s">
        <v>287</v>
      </c>
      <c r="D128" s="235" t="s">
        <v>268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244</v>
      </c>
      <c r="B129" s="128" t="s">
        <v>27</v>
      </c>
      <c r="C129" s="128" t="s">
        <v>291</v>
      </c>
      <c r="D129" s="235" t="s">
        <v>268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244</v>
      </c>
      <c r="B130" s="128" t="s">
        <v>31</v>
      </c>
      <c r="C130" s="128" t="s">
        <v>295</v>
      </c>
      <c r="D130" s="235" t="s">
        <v>268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244</v>
      </c>
      <c r="B131" s="128" t="s">
        <v>20</v>
      </c>
      <c r="C131" s="128" t="s">
        <v>284</v>
      </c>
      <c r="D131" s="235" t="s">
        <v>268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244</v>
      </c>
      <c r="B132" s="128" t="s">
        <v>24</v>
      </c>
      <c r="C132" s="128" t="s">
        <v>288</v>
      </c>
      <c r="D132" s="235" t="s">
        <v>268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244</v>
      </c>
      <c r="B133" s="128" t="s">
        <v>28</v>
      </c>
      <c r="C133" s="128" t="s">
        <v>292</v>
      </c>
      <c r="D133" s="235" t="s">
        <v>268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244</v>
      </c>
      <c r="B134" s="128" t="s">
        <v>32</v>
      </c>
      <c r="C134" s="128" t="s">
        <v>296</v>
      </c>
      <c r="D134" s="235" t="s">
        <v>268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244</v>
      </c>
      <c r="B135" s="128" t="s">
        <v>34</v>
      </c>
      <c r="C135" s="128" t="s">
        <v>298</v>
      </c>
      <c r="D135" s="235" t="s">
        <v>268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244</v>
      </c>
      <c r="B136" s="128" t="s">
        <v>38</v>
      </c>
      <c r="C136" s="128" t="s">
        <v>302</v>
      </c>
      <c r="D136" s="235" t="s">
        <v>268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244</v>
      </c>
      <c r="B137" s="128" t="s">
        <v>42</v>
      </c>
      <c r="C137" s="128" t="s">
        <v>306</v>
      </c>
      <c r="D137" s="235" t="s">
        <v>268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244</v>
      </c>
      <c r="B138" s="128" t="s">
        <v>46</v>
      </c>
      <c r="C138" s="128" t="s">
        <v>310</v>
      </c>
      <c r="D138" s="235" t="s">
        <v>268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244</v>
      </c>
      <c r="B139" s="128" t="s">
        <v>35</v>
      </c>
      <c r="C139" s="128" t="s">
        <v>299</v>
      </c>
      <c r="D139" s="235" t="s">
        <v>268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244</v>
      </c>
      <c r="B140" s="128" t="s">
        <v>39</v>
      </c>
      <c r="C140" s="128" t="s">
        <v>303</v>
      </c>
      <c r="D140" s="235" t="s">
        <v>268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244</v>
      </c>
      <c r="B141" s="128" t="s">
        <v>43</v>
      </c>
      <c r="C141" s="128" t="s">
        <v>307</v>
      </c>
      <c r="D141" s="235" t="s">
        <v>268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244</v>
      </c>
      <c r="B142" s="128" t="s">
        <v>47</v>
      </c>
      <c r="C142" s="128" t="s">
        <v>311</v>
      </c>
      <c r="D142" s="235" t="s">
        <v>268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244</v>
      </c>
      <c r="B143" s="128" t="s">
        <v>10</v>
      </c>
      <c r="C143" s="128" t="s">
        <v>274</v>
      </c>
      <c r="D143" s="235" t="s">
        <v>268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244</v>
      </c>
      <c r="B144" s="128" t="s">
        <v>12</v>
      </c>
      <c r="C144" s="128" t="s">
        <v>276</v>
      </c>
      <c r="D144" s="235" t="s">
        <v>268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244</v>
      </c>
      <c r="B145" s="128" t="s">
        <v>14</v>
      </c>
      <c r="C145" s="128" t="s">
        <v>278</v>
      </c>
      <c r="D145" s="235" t="s">
        <v>268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244</v>
      </c>
      <c r="B146" s="128" t="s">
        <v>16</v>
      </c>
      <c r="C146" s="128" t="s">
        <v>280</v>
      </c>
      <c r="D146" s="235" t="s">
        <v>268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244</v>
      </c>
      <c r="B147" s="128" t="s">
        <v>36</v>
      </c>
      <c r="C147" s="128" t="s">
        <v>300</v>
      </c>
      <c r="D147" s="235" t="s">
        <v>268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244</v>
      </c>
      <c r="B148" s="128" t="s">
        <v>40</v>
      </c>
      <c r="C148" s="128" t="s">
        <v>304</v>
      </c>
      <c r="D148" s="235" t="s">
        <v>268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244</v>
      </c>
      <c r="B149" s="128" t="s">
        <v>44</v>
      </c>
      <c r="C149" s="128" t="s">
        <v>308</v>
      </c>
      <c r="D149" s="235" t="s">
        <v>268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244</v>
      </c>
      <c r="B150" s="128" t="s">
        <v>48</v>
      </c>
      <c r="C150" s="128" t="s">
        <v>312</v>
      </c>
      <c r="D150" s="235" t="s">
        <v>268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244</v>
      </c>
      <c r="B151" s="128" t="s">
        <v>52</v>
      </c>
      <c r="C151" s="128" t="s">
        <v>316</v>
      </c>
      <c r="D151" s="235" t="s">
        <v>268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244</v>
      </c>
      <c r="B152" s="128" t="s">
        <v>57</v>
      </c>
      <c r="C152" s="128" t="s">
        <v>321</v>
      </c>
      <c r="D152" s="235" t="s">
        <v>268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244</v>
      </c>
      <c r="B153" s="128" t="s">
        <v>62</v>
      </c>
      <c r="C153" s="128" t="s">
        <v>326</v>
      </c>
      <c r="D153" s="235" t="s">
        <v>268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244</v>
      </c>
      <c r="B154" s="128" t="s">
        <v>67</v>
      </c>
      <c r="C154" s="128" t="s">
        <v>331</v>
      </c>
      <c r="D154" s="235" t="s">
        <v>268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244</v>
      </c>
      <c r="B155" s="128" t="s">
        <v>53</v>
      </c>
      <c r="C155" s="128" t="s">
        <v>317</v>
      </c>
      <c r="D155" s="235" t="s">
        <v>268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244</v>
      </c>
      <c r="B156" s="128" t="s">
        <v>58</v>
      </c>
      <c r="C156" s="128" t="s">
        <v>322</v>
      </c>
      <c r="D156" s="235" t="s">
        <v>268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244</v>
      </c>
      <c r="B157" s="128" t="s">
        <v>63</v>
      </c>
      <c r="C157" s="128" t="s">
        <v>327</v>
      </c>
      <c r="D157" s="235" t="s">
        <v>268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244</v>
      </c>
      <c r="B158" s="128" t="s">
        <v>68</v>
      </c>
      <c r="C158" s="128" t="s">
        <v>332</v>
      </c>
      <c r="D158" s="235" t="s">
        <v>268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5.140625" style="75" bestFit="1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442</v>
      </c>
    </row>
    <row r="3" spans="2:30" ht="15" customHeight="1">
      <c r="B3" s="84"/>
    </row>
    <row r="4" spans="2:30" ht="15" customHeight="1">
      <c r="B4" s="85" t="s">
        <v>441</v>
      </c>
      <c r="C4" s="63" t="str">
        <f>Netzbetreiber!$D$9</f>
        <v>EVIP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440</v>
      </c>
      <c r="C5" s="64" t="str">
        <f>Netzbetreiber!D28</f>
        <v>EVIP GmbH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438</v>
      </c>
      <c r="C6" s="349">
        <f>Netzbetreiber!$D$11</f>
        <v>9870105300006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44593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3" t="s">
        <v>454</v>
      </c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5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463</v>
      </c>
      <c r="N9" s="91" t="s">
        <v>368</v>
      </c>
      <c r="O9" s="92" t="s">
        <v>369</v>
      </c>
      <c r="P9" s="92" t="s">
        <v>370</v>
      </c>
      <c r="Q9" s="92" t="s">
        <v>371</v>
      </c>
      <c r="R9" s="92" t="s">
        <v>372</v>
      </c>
      <c r="S9" s="92" t="s">
        <v>373</v>
      </c>
      <c r="T9" s="92" t="s">
        <v>374</v>
      </c>
      <c r="U9" s="92" t="s">
        <v>375</v>
      </c>
      <c r="V9" s="92" t="s">
        <v>376</v>
      </c>
      <c r="W9" s="92" t="s">
        <v>377</v>
      </c>
      <c r="X9" s="92" t="s">
        <v>378</v>
      </c>
      <c r="Y9" s="92" t="s">
        <v>379</v>
      </c>
      <c r="Z9" s="92" t="s">
        <v>380</v>
      </c>
      <c r="AA9" s="92" t="s">
        <v>381</v>
      </c>
      <c r="AB9" s="92" t="s">
        <v>382</v>
      </c>
      <c r="AC9" s="93" t="s">
        <v>383</v>
      </c>
      <c r="AD9" s="93" t="s">
        <v>425</v>
      </c>
    </row>
    <row r="10" spans="2:30" ht="72" customHeight="1" thickBot="1">
      <c r="B10" s="358" t="s">
        <v>579</v>
      </c>
      <c r="C10" s="359"/>
      <c r="D10" s="94">
        <v>2</v>
      </c>
      <c r="E10" s="95" t="str">
        <f>IF(ISERROR(HLOOKUP(E$11,$M$9:$AD$35,$D10,0)),"",HLOOKUP(E$11,$M$9:$AD$35,$D10,0))</f>
        <v/>
      </c>
      <c r="F10" s="356" t="s">
        <v>394</v>
      </c>
      <c r="G10" s="356"/>
      <c r="H10" s="356"/>
      <c r="I10" s="356"/>
      <c r="J10" s="356"/>
      <c r="K10" s="356"/>
      <c r="L10" s="357"/>
      <c r="M10" s="96" t="s">
        <v>464</v>
      </c>
      <c r="N10" s="97" t="s">
        <v>465</v>
      </c>
      <c r="O10" s="98" t="s">
        <v>466</v>
      </c>
      <c r="P10" s="99" t="s">
        <v>467</v>
      </c>
      <c r="Q10" s="99" t="s">
        <v>468</v>
      </c>
      <c r="R10" s="99" t="s">
        <v>469</v>
      </c>
      <c r="S10" s="99" t="s">
        <v>470</v>
      </c>
      <c r="T10" s="99" t="s">
        <v>471</v>
      </c>
      <c r="U10" s="99" t="s">
        <v>472</v>
      </c>
      <c r="V10" s="99" t="s">
        <v>473</v>
      </c>
      <c r="W10" s="99" t="s">
        <v>474</v>
      </c>
      <c r="X10" s="99" t="s">
        <v>475</v>
      </c>
      <c r="Y10" s="99" t="s">
        <v>476</v>
      </c>
      <c r="Z10" s="99" t="s">
        <v>477</v>
      </c>
      <c r="AA10" s="99" t="s">
        <v>478</v>
      </c>
      <c r="AB10" s="99" t="s">
        <v>479</v>
      </c>
      <c r="AC10" s="100" t="s">
        <v>480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385</v>
      </c>
      <c r="G11" s="107" t="s">
        <v>386</v>
      </c>
      <c r="H11" s="107" t="s">
        <v>387</v>
      </c>
      <c r="I11" s="107" t="s">
        <v>388</v>
      </c>
      <c r="J11" s="107" t="s">
        <v>389</v>
      </c>
      <c r="K11" s="107" t="s">
        <v>390</v>
      </c>
      <c r="L11" s="108" t="s">
        <v>391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395</v>
      </c>
      <c r="C12" s="110"/>
      <c r="D12" s="111">
        <v>4</v>
      </c>
      <c r="E12" s="314">
        <f>MIN(SUMPRODUCT($M$11:$AD$11,M12:AD12),1)</f>
        <v>1</v>
      </c>
      <c r="F12" s="311" t="s">
        <v>391</v>
      </c>
      <c r="G12" s="78" t="s">
        <v>391</v>
      </c>
      <c r="H12" s="78" t="s">
        <v>391</v>
      </c>
      <c r="I12" s="78" t="s">
        <v>391</v>
      </c>
      <c r="J12" s="78" t="s">
        <v>391</v>
      </c>
      <c r="K12" s="78" t="s">
        <v>391</v>
      </c>
      <c r="L12" s="79" t="s">
        <v>391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396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391</v>
      </c>
      <c r="G13" s="80" t="s">
        <v>391</v>
      </c>
      <c r="H13" s="80" t="s">
        <v>391</v>
      </c>
      <c r="I13" s="80" t="s">
        <v>391</v>
      </c>
      <c r="J13" s="80" t="s">
        <v>391</v>
      </c>
      <c r="K13" s="80" t="s">
        <v>391</v>
      </c>
      <c r="L13" s="81" t="s">
        <v>391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397</v>
      </c>
      <c r="C14" s="117"/>
      <c r="D14" s="111">
        <v>6</v>
      </c>
      <c r="E14" s="315">
        <f t="shared" si="0"/>
        <v>0</v>
      </c>
      <c r="F14" s="312" t="s">
        <v>391</v>
      </c>
      <c r="G14" s="80" t="s">
        <v>398</v>
      </c>
      <c r="H14" s="80" t="s">
        <v>398</v>
      </c>
      <c r="I14" s="80" t="s">
        <v>398</v>
      </c>
      <c r="J14" s="80" t="s">
        <v>398</v>
      </c>
      <c r="K14" s="80" t="s">
        <v>398</v>
      </c>
      <c r="L14" s="81" t="s">
        <v>398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399</v>
      </c>
      <c r="C15" s="117"/>
      <c r="D15" s="111">
        <v>7</v>
      </c>
      <c r="E15" s="315">
        <f t="shared" si="0"/>
        <v>0</v>
      </c>
      <c r="F15" s="312" t="s">
        <v>398</v>
      </c>
      <c r="G15" s="80" t="s">
        <v>390</v>
      </c>
      <c r="H15" s="80" t="s">
        <v>398</v>
      </c>
      <c r="I15" s="80" t="s">
        <v>398</v>
      </c>
      <c r="J15" s="80" t="s">
        <v>398</v>
      </c>
      <c r="K15" s="80" t="s">
        <v>398</v>
      </c>
      <c r="L15" s="81" t="s">
        <v>398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411</v>
      </c>
      <c r="C16" s="117"/>
      <c r="D16" s="111">
        <v>8</v>
      </c>
      <c r="E16" s="315">
        <f t="shared" si="0"/>
        <v>1</v>
      </c>
      <c r="F16" s="312" t="s">
        <v>398</v>
      </c>
      <c r="G16" s="80" t="s">
        <v>398</v>
      </c>
      <c r="H16" s="80" t="s">
        <v>398</v>
      </c>
      <c r="I16" s="80" t="s">
        <v>398</v>
      </c>
      <c r="J16" s="80" t="s">
        <v>391</v>
      </c>
      <c r="K16" s="80" t="s">
        <v>398</v>
      </c>
      <c r="L16" s="81" t="s">
        <v>398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412</v>
      </c>
      <c r="C17" s="117"/>
      <c r="D17" s="111">
        <v>9</v>
      </c>
      <c r="E17" s="315">
        <f t="shared" si="0"/>
        <v>1</v>
      </c>
      <c r="F17" s="312" t="s">
        <v>398</v>
      </c>
      <c r="G17" s="80" t="s">
        <v>398</v>
      </c>
      <c r="H17" s="80" t="s">
        <v>398</v>
      </c>
      <c r="I17" s="80" t="s">
        <v>398</v>
      </c>
      <c r="J17" s="80" t="s">
        <v>398</v>
      </c>
      <c r="K17" s="80" t="s">
        <v>398</v>
      </c>
      <c r="L17" s="81" t="s">
        <v>391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413</v>
      </c>
      <c r="C18" s="117"/>
      <c r="D18" s="111">
        <v>10</v>
      </c>
      <c r="E18" s="315">
        <f t="shared" si="0"/>
        <v>1</v>
      </c>
      <c r="F18" s="312" t="s">
        <v>391</v>
      </c>
      <c r="G18" s="80" t="s">
        <v>398</v>
      </c>
      <c r="H18" s="80" t="s">
        <v>398</v>
      </c>
      <c r="I18" s="80" t="s">
        <v>398</v>
      </c>
      <c r="J18" s="80" t="s">
        <v>398</v>
      </c>
      <c r="K18" s="80" t="s">
        <v>398</v>
      </c>
      <c r="L18" s="81" t="s">
        <v>398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647</v>
      </c>
      <c r="C19" s="340"/>
      <c r="D19" s="111"/>
      <c r="E19" s="315">
        <v>1</v>
      </c>
      <c r="F19" s="312" t="s">
        <v>391</v>
      </c>
      <c r="G19" s="80" t="s">
        <v>391</v>
      </c>
      <c r="H19" s="80" t="s">
        <v>391</v>
      </c>
      <c r="I19" s="80" t="s">
        <v>391</v>
      </c>
      <c r="J19" s="80" t="s">
        <v>391</v>
      </c>
      <c r="K19" s="80" t="s">
        <v>391</v>
      </c>
      <c r="L19" s="81" t="s">
        <v>391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400</v>
      </c>
      <c r="C20" s="117"/>
      <c r="D20" s="111">
        <v>11</v>
      </c>
      <c r="E20" s="315">
        <f t="shared" si="0"/>
        <v>1</v>
      </c>
      <c r="F20" s="312" t="s">
        <v>391</v>
      </c>
      <c r="G20" s="80" t="s">
        <v>391</v>
      </c>
      <c r="H20" s="80" t="s">
        <v>391</v>
      </c>
      <c r="I20" s="80" t="s">
        <v>391</v>
      </c>
      <c r="J20" s="80" t="s">
        <v>391</v>
      </c>
      <c r="K20" s="80" t="s">
        <v>391</v>
      </c>
      <c r="L20" s="81" t="s">
        <v>391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645</v>
      </c>
      <c r="C21" s="117"/>
      <c r="D21" s="111">
        <v>12</v>
      </c>
      <c r="E21" s="315">
        <f t="shared" si="0"/>
        <v>1</v>
      </c>
      <c r="F21" s="312" t="s">
        <v>398</v>
      </c>
      <c r="G21" s="80" t="s">
        <v>398</v>
      </c>
      <c r="H21" s="80" t="s">
        <v>398</v>
      </c>
      <c r="I21" s="80" t="s">
        <v>391</v>
      </c>
      <c r="J21" s="80" t="s">
        <v>398</v>
      </c>
      <c r="K21" s="80" t="s">
        <v>398</v>
      </c>
      <c r="L21" s="81" t="s">
        <v>398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414</v>
      </c>
      <c r="C22" s="117"/>
      <c r="D22" s="111">
        <v>13</v>
      </c>
      <c r="E22" s="315">
        <f t="shared" si="0"/>
        <v>1</v>
      </c>
      <c r="F22" s="312" t="s">
        <v>398</v>
      </c>
      <c r="G22" s="80" t="s">
        <v>398</v>
      </c>
      <c r="H22" s="80" t="s">
        <v>398</v>
      </c>
      <c r="I22" s="80" t="s">
        <v>398</v>
      </c>
      <c r="J22" s="80" t="s">
        <v>398</v>
      </c>
      <c r="K22" s="80" t="s">
        <v>398</v>
      </c>
      <c r="L22" s="81" t="s">
        <v>391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415</v>
      </c>
      <c r="C23" s="117"/>
      <c r="D23" s="111">
        <v>14</v>
      </c>
      <c r="E23" s="315">
        <f t="shared" si="0"/>
        <v>1</v>
      </c>
      <c r="F23" s="312" t="s">
        <v>391</v>
      </c>
      <c r="G23" s="80" t="s">
        <v>398</v>
      </c>
      <c r="H23" s="80" t="s">
        <v>398</v>
      </c>
      <c r="I23" s="80" t="s">
        <v>398</v>
      </c>
      <c r="J23" s="80" t="s">
        <v>398</v>
      </c>
      <c r="K23" s="80" t="s">
        <v>398</v>
      </c>
      <c r="L23" s="81" t="s">
        <v>398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416</v>
      </c>
      <c r="C24" s="117"/>
      <c r="D24" s="111">
        <v>15</v>
      </c>
      <c r="E24" s="315">
        <f t="shared" si="0"/>
        <v>0</v>
      </c>
      <c r="F24" s="312" t="s">
        <v>398</v>
      </c>
      <c r="G24" s="80" t="s">
        <v>398</v>
      </c>
      <c r="H24" s="80" t="s">
        <v>398</v>
      </c>
      <c r="I24" s="80" t="s">
        <v>391</v>
      </c>
      <c r="J24" s="80" t="s">
        <v>398</v>
      </c>
      <c r="K24" s="80" t="s">
        <v>398</v>
      </c>
      <c r="L24" s="81" t="s">
        <v>398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401</v>
      </c>
      <c r="C25" s="117"/>
      <c r="D25" s="111">
        <v>16</v>
      </c>
      <c r="E25" s="315">
        <f t="shared" si="0"/>
        <v>0</v>
      </c>
      <c r="F25" s="312" t="s">
        <v>391</v>
      </c>
      <c r="G25" s="80" t="s">
        <v>391</v>
      </c>
      <c r="H25" s="80" t="s">
        <v>391</v>
      </c>
      <c r="I25" s="80" t="s">
        <v>391</v>
      </c>
      <c r="J25" s="80" t="s">
        <v>391</v>
      </c>
      <c r="K25" s="80" t="s">
        <v>391</v>
      </c>
      <c r="L25" s="81" t="s">
        <v>391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402</v>
      </c>
      <c r="C26" s="117"/>
      <c r="D26" s="111">
        <v>17</v>
      </c>
      <c r="E26" s="315">
        <f t="shared" si="0"/>
        <v>0</v>
      </c>
      <c r="F26" s="312" t="s">
        <v>391</v>
      </c>
      <c r="G26" s="80" t="s">
        <v>391</v>
      </c>
      <c r="H26" s="80" t="s">
        <v>391</v>
      </c>
      <c r="I26" s="80" t="s">
        <v>391</v>
      </c>
      <c r="J26" s="80" t="s">
        <v>391</v>
      </c>
      <c r="K26" s="80" t="s">
        <v>391</v>
      </c>
      <c r="L26" s="81" t="s">
        <v>391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646</v>
      </c>
      <c r="C27" s="340"/>
      <c r="D27" s="111"/>
      <c r="E27" s="315">
        <v>1</v>
      </c>
      <c r="F27" s="312" t="s">
        <v>391</v>
      </c>
      <c r="G27" s="80" t="s">
        <v>391</v>
      </c>
      <c r="H27" s="80" t="s">
        <v>391</v>
      </c>
      <c r="I27" s="80" t="s">
        <v>391</v>
      </c>
      <c r="J27" s="80" t="s">
        <v>391</v>
      </c>
      <c r="K27" s="80" t="s">
        <v>391</v>
      </c>
      <c r="L27" s="81" t="s">
        <v>391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403</v>
      </c>
      <c r="C28" s="117"/>
      <c r="D28" s="111">
        <v>18</v>
      </c>
      <c r="E28" s="315">
        <f t="shared" si="0"/>
        <v>1</v>
      </c>
      <c r="F28" s="312" t="s">
        <v>391</v>
      </c>
      <c r="G28" s="80" t="s">
        <v>391</v>
      </c>
      <c r="H28" s="80" t="s">
        <v>391</v>
      </c>
      <c r="I28" s="80" t="s">
        <v>391</v>
      </c>
      <c r="J28" s="80" t="s">
        <v>391</v>
      </c>
      <c r="K28" s="80" t="s">
        <v>391</v>
      </c>
      <c r="L28" s="81" t="s">
        <v>391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404</v>
      </c>
      <c r="C29" s="340"/>
      <c r="D29" s="341">
        <v>19</v>
      </c>
      <c r="E29" s="342">
        <v>1</v>
      </c>
      <c r="F29" s="312" t="s">
        <v>391</v>
      </c>
      <c r="G29" s="312" t="s">
        <v>391</v>
      </c>
      <c r="H29" s="312" t="s">
        <v>391</v>
      </c>
      <c r="I29" s="312" t="s">
        <v>391</v>
      </c>
      <c r="J29" s="312" t="s">
        <v>391</v>
      </c>
      <c r="K29" s="312" t="s">
        <v>391</v>
      </c>
      <c r="L29" s="312" t="s">
        <v>391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405</v>
      </c>
      <c r="C30" s="117"/>
      <c r="D30" s="111">
        <v>20</v>
      </c>
      <c r="E30" s="315">
        <f t="shared" si="0"/>
        <v>0</v>
      </c>
      <c r="F30" s="312" t="s">
        <v>391</v>
      </c>
      <c r="G30" s="80" t="s">
        <v>391</v>
      </c>
      <c r="H30" s="80" t="s">
        <v>391</v>
      </c>
      <c r="I30" s="80" t="s">
        <v>391</v>
      </c>
      <c r="J30" s="80" t="s">
        <v>391</v>
      </c>
      <c r="K30" s="80" t="s">
        <v>391</v>
      </c>
      <c r="L30" s="81" t="s">
        <v>391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406</v>
      </c>
      <c r="C31" s="117"/>
      <c r="D31" s="111">
        <v>21</v>
      </c>
      <c r="E31" s="315">
        <f t="shared" si="0"/>
        <v>0</v>
      </c>
      <c r="F31" s="312" t="s">
        <v>398</v>
      </c>
      <c r="G31" s="80" t="s">
        <v>398</v>
      </c>
      <c r="H31" s="80" t="s">
        <v>391</v>
      </c>
      <c r="I31" s="80" t="s">
        <v>398</v>
      </c>
      <c r="J31" s="80" t="s">
        <v>398</v>
      </c>
      <c r="K31" s="80" t="s">
        <v>398</v>
      </c>
      <c r="L31" s="81" t="s">
        <v>398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407</v>
      </c>
      <c r="C32" s="117"/>
      <c r="D32" s="111">
        <v>22</v>
      </c>
      <c r="E32" s="315">
        <f t="shared" si="0"/>
        <v>0</v>
      </c>
      <c r="F32" s="312" t="s">
        <v>390</v>
      </c>
      <c r="G32" s="80" t="s">
        <v>390</v>
      </c>
      <c r="H32" s="80" t="s">
        <v>390</v>
      </c>
      <c r="I32" s="80" t="s">
        <v>390</v>
      </c>
      <c r="J32" s="80" t="s">
        <v>390</v>
      </c>
      <c r="K32" s="80" t="s">
        <v>390</v>
      </c>
      <c r="L32" s="81" t="s">
        <v>391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408</v>
      </c>
      <c r="C33" s="117"/>
      <c r="D33" s="111">
        <v>23</v>
      </c>
      <c r="E33" s="315">
        <f t="shared" si="0"/>
        <v>1</v>
      </c>
      <c r="F33" s="312" t="s">
        <v>391</v>
      </c>
      <c r="G33" s="80" t="s">
        <v>391</v>
      </c>
      <c r="H33" s="80" t="s">
        <v>391</v>
      </c>
      <c r="I33" s="80" t="s">
        <v>391</v>
      </c>
      <c r="J33" s="80" t="s">
        <v>391</v>
      </c>
      <c r="K33" s="80" t="s">
        <v>391</v>
      </c>
      <c r="L33" s="81" t="s">
        <v>391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409</v>
      </c>
      <c r="C34" s="117"/>
      <c r="D34" s="111">
        <v>24</v>
      </c>
      <c r="E34" s="315">
        <f t="shared" si="0"/>
        <v>1</v>
      </c>
      <c r="F34" s="312" t="s">
        <v>391</v>
      </c>
      <c r="G34" s="80" t="s">
        <v>391</v>
      </c>
      <c r="H34" s="80" t="s">
        <v>391</v>
      </c>
      <c r="I34" s="80" t="s">
        <v>391</v>
      </c>
      <c r="J34" s="80" t="s">
        <v>391</v>
      </c>
      <c r="K34" s="80" t="s">
        <v>391</v>
      </c>
      <c r="L34" s="81" t="s">
        <v>391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410</v>
      </c>
      <c r="C35" s="123"/>
      <c r="D35" s="124">
        <v>25</v>
      </c>
      <c r="E35" s="316">
        <f t="shared" si="0"/>
        <v>0</v>
      </c>
      <c r="F35" s="313" t="s">
        <v>390</v>
      </c>
      <c r="G35" s="82" t="s">
        <v>390</v>
      </c>
      <c r="H35" s="82" t="s">
        <v>390</v>
      </c>
      <c r="I35" s="82" t="s">
        <v>390</v>
      </c>
      <c r="J35" s="82" t="s">
        <v>390</v>
      </c>
      <c r="K35" s="82" t="s">
        <v>390</v>
      </c>
      <c r="L35" s="83" t="s">
        <v>391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451</v>
      </c>
      <c r="B1" s="128"/>
      <c r="D1" s="217" t="s">
        <v>541</v>
      </c>
    </row>
    <row r="2" spans="1:16">
      <c r="A2" s="237"/>
      <c r="B2" s="236" t="s">
        <v>452</v>
      </c>
    </row>
    <row r="3" spans="1:16" ht="20.100000000000001" customHeight="1">
      <c r="A3" s="360" t="s">
        <v>248</v>
      </c>
      <c r="B3" s="238" t="s">
        <v>85</v>
      </c>
      <c r="C3" s="239"/>
      <c r="D3" s="362" t="s">
        <v>453</v>
      </c>
      <c r="E3" s="363"/>
      <c r="F3" s="363"/>
      <c r="G3" s="363"/>
      <c r="H3" s="363"/>
      <c r="I3" s="363"/>
      <c r="J3" s="364"/>
      <c r="K3" s="240"/>
      <c r="L3" s="240"/>
      <c r="M3" s="240"/>
      <c r="N3" s="240"/>
      <c r="O3" s="241"/>
      <c r="P3" s="240"/>
    </row>
    <row r="4" spans="1:16" ht="20.100000000000001" customHeight="1">
      <c r="A4" s="361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250</v>
      </c>
      <c r="P5" s="248" t="s">
        <v>249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t="shared" ref="M7:M21" si="0">MAX(D7:J7)</f>
        <v>1</v>
      </c>
      <c r="N7" s="255" t="s">
        <v>364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364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 t="shared" ref="M9" si="1">MAX(D9:J9)</f>
        <v>1</v>
      </c>
      <c r="N9" s="255" t="s">
        <v>4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95</v>
      </c>
      <c r="M11" s="254">
        <f t="shared" si="0"/>
        <v>1.0522626697461936</v>
      </c>
      <c r="N11" s="255" t="s">
        <v>253</v>
      </c>
      <c r="O11" s="250" t="s">
        <v>251</v>
      </c>
      <c r="P11" s="244"/>
    </row>
    <row r="12" spans="1:16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94</v>
      </c>
      <c r="M12" s="254">
        <f t="shared" si="0"/>
        <v>1.0358469949391176</v>
      </c>
      <c r="N12" s="255" t="s">
        <v>253</v>
      </c>
      <c r="O12" s="250" t="s">
        <v>251</v>
      </c>
      <c r="P12" s="244"/>
    </row>
    <row r="13" spans="1:16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253</v>
      </c>
      <c r="O13" s="250" t="s">
        <v>251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94</v>
      </c>
      <c r="M14" s="254">
        <f t="shared" si="0"/>
        <v>1.1052461688999999</v>
      </c>
      <c r="N14" s="255" t="s">
        <v>253</v>
      </c>
      <c r="O14" s="250" t="s">
        <v>251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95</v>
      </c>
      <c r="M15" s="254">
        <f t="shared" si="0"/>
        <v>1.0389446761000001</v>
      </c>
      <c r="N15" s="255" t="s">
        <v>253</v>
      </c>
      <c r="O15" s="250" t="s">
        <v>251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96</v>
      </c>
      <c r="M16" s="254">
        <f>MAX(D16:J16)</f>
        <v>1.2706602107</v>
      </c>
      <c r="N16" s="255" t="s">
        <v>253</v>
      </c>
      <c r="O16" s="250" t="s">
        <v>251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99</v>
      </c>
      <c r="M17" s="254">
        <f t="shared" si="0"/>
        <v>1.0355882019</v>
      </c>
      <c r="N17" s="255" t="s">
        <v>253</v>
      </c>
      <c r="O17" s="250" t="s">
        <v>252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98</v>
      </c>
      <c r="M18" s="254">
        <f t="shared" si="0"/>
        <v>1.1401797148999999</v>
      </c>
      <c r="N18" s="255" t="s">
        <v>253</v>
      </c>
      <c r="O18" s="250" t="s">
        <v>252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97</v>
      </c>
      <c r="M19" s="254">
        <f t="shared" si="0"/>
        <v>1.0552346931000001</v>
      </c>
      <c r="N19" s="255" t="s">
        <v>253</v>
      </c>
      <c r="O19" s="250" t="s">
        <v>252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253</v>
      </c>
      <c r="O20" s="250" t="s">
        <v>252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95</v>
      </c>
      <c r="M21" s="254">
        <f t="shared" si="0"/>
        <v>1.0522626697461936</v>
      </c>
      <c r="N21" s="255" t="s">
        <v>253</v>
      </c>
      <c r="O21" s="250" t="s">
        <v>252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95</v>
      </c>
      <c r="M22" s="254">
        <f>MAX(D22:J22)</f>
        <v>1.03</v>
      </c>
      <c r="N22" s="255" t="s">
        <v>253</v>
      </c>
      <c r="O22" s="250" t="s">
        <v>252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www.w3.org/XML/1998/namespace"/>
    <ds:schemaRef ds:uri="818b9f00-f4e5-4488-840e-6084e0f1107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Björn Friede</cp:lastModifiedBy>
  <cp:lastPrinted>2015-03-20T22:59:10Z</cp:lastPrinted>
  <dcterms:created xsi:type="dcterms:W3CDTF">2015-01-15T05:25:41Z</dcterms:created>
  <dcterms:modified xsi:type="dcterms:W3CDTF">2021-11-29T14:01:13Z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